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11"/>
  <workbookPr/>
  <mc:AlternateContent xmlns:mc="http://schemas.openxmlformats.org/markup-compatibility/2006">
    <mc:Choice Requires="x15">
      <x15ac:absPath xmlns:x15ac="http://schemas.microsoft.com/office/spreadsheetml/2010/11/ac" url="U:\NPRI Implementation\Toolbox_v2\_Tools_Guides\Storage tanks\Spreadsheets for posting (locked)\"/>
    </mc:Choice>
  </mc:AlternateContent>
  <xr:revisionPtr revIDLastSave="0" documentId="8_{AEDB1B16-C98E-45C0-9540-BD019BBA168C}" xr6:coauthVersionLast="47" xr6:coauthVersionMax="47" xr10:uidLastSave="{00000000-0000-0000-0000-000000000000}"/>
  <workbookProtection workbookAlgorithmName="SHA-512" workbookHashValue="Xb8ubNgqSeTZGbXSJviqjy1HWHrS7c3JEp6mBqq6xwuAH/c6y50sLLKGXVZj/uauzJzay0TujX6Tm+rIEmhMsA==" workbookSaltValue="qvSmcI9oFPuiWtqv+LPAvA==" workbookSpinCount="100000" lockStructure="1"/>
  <bookViews>
    <workbookView xWindow="28800" yWindow="0" windowWidth="28800" windowHeight="23400" xr2:uid="{00000000-000D-0000-FFFF-FFFF00000000}"/>
  </bookViews>
  <sheets>
    <sheet name="Introduction" sheetId="1" r:id="rId1"/>
    <sheet name="Valko and McCain Correl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2" l="1"/>
  <c r="M20" i="2" s="1"/>
  <c r="E20" i="2"/>
  <c r="I20" i="2" s="1"/>
  <c r="L20" i="2" s="1"/>
  <c r="D20" i="2"/>
  <c r="H20" i="2" s="1"/>
  <c r="K20" i="2" s="1"/>
  <c r="J19" i="2"/>
  <c r="M19" i="2" s="1"/>
  <c r="E19" i="2"/>
  <c r="I19" i="2" s="1"/>
  <c r="L19" i="2" s="1"/>
  <c r="D19" i="2"/>
  <c r="H19" i="2" s="1"/>
  <c r="K19" i="2" s="1"/>
  <c r="J18" i="2"/>
  <c r="M18" i="2" s="1"/>
  <c r="E18" i="2"/>
  <c r="I18" i="2" s="1"/>
  <c r="L18" i="2" s="1"/>
  <c r="D18" i="2"/>
  <c r="H18" i="2" s="1"/>
  <c r="K18" i="2" s="1"/>
  <c r="J17" i="2"/>
  <c r="M17" i="2" s="1"/>
  <c r="E17" i="2"/>
  <c r="I17" i="2" s="1"/>
  <c r="L17" i="2" s="1"/>
  <c r="D17" i="2"/>
  <c r="H17" i="2" s="1"/>
  <c r="K17" i="2" s="1"/>
  <c r="J16" i="2"/>
  <c r="M16" i="2" s="1"/>
  <c r="E16" i="2"/>
  <c r="I16" i="2" s="1"/>
  <c r="L16" i="2" s="1"/>
  <c r="D16" i="2"/>
  <c r="H16" i="2" s="1"/>
  <c r="K16" i="2" s="1"/>
  <c r="J15" i="2"/>
  <c r="M15" i="2" s="1"/>
  <c r="E15" i="2"/>
  <c r="I15" i="2" s="1"/>
  <c r="L15" i="2" s="1"/>
  <c r="D15" i="2"/>
  <c r="H15" i="2" s="1"/>
  <c r="K15" i="2" s="1"/>
  <c r="J14" i="2"/>
  <c r="M14" i="2" s="1"/>
  <c r="E14" i="2"/>
  <c r="I14" i="2" s="1"/>
  <c r="L14" i="2" s="1"/>
  <c r="D14" i="2"/>
  <c r="H14" i="2" s="1"/>
  <c r="K14" i="2" s="1"/>
  <c r="J13" i="2"/>
  <c r="M13" i="2" s="1"/>
  <c r="E13" i="2"/>
  <c r="I13" i="2" s="1"/>
  <c r="L13" i="2" s="1"/>
  <c r="D13" i="2"/>
  <c r="H13" i="2" s="1"/>
  <c r="K13" i="2" s="1"/>
  <c r="J12" i="2"/>
  <c r="M12" i="2" s="1"/>
  <c r="E12" i="2"/>
  <c r="I12" i="2" s="1"/>
  <c r="L12" i="2" s="1"/>
  <c r="D12" i="2"/>
  <c r="H12" i="2" s="1"/>
  <c r="K12" i="2" s="1"/>
  <c r="J11" i="2"/>
  <c r="M11" i="2" s="1"/>
  <c r="E11" i="2"/>
  <c r="I11" i="2" s="1"/>
  <c r="L11" i="2" s="1"/>
  <c r="D11" i="2"/>
  <c r="H11" i="2" s="1"/>
  <c r="K11" i="2" s="1"/>
  <c r="J10" i="2"/>
  <c r="M10" i="2" s="1"/>
  <c r="E10" i="2"/>
  <c r="I10" i="2" s="1"/>
  <c r="L10" i="2" s="1"/>
  <c r="D10" i="2"/>
  <c r="H10" i="2" s="1"/>
  <c r="K10" i="2" s="1"/>
  <c r="J9" i="2"/>
  <c r="M9" i="2" s="1"/>
  <c r="E9" i="2"/>
  <c r="I9" i="2" s="1"/>
  <c r="L9" i="2" s="1"/>
  <c r="D9" i="2"/>
  <c r="H9" i="2" s="1"/>
  <c r="K9" i="2" s="1"/>
  <c r="J8" i="2"/>
  <c r="M8" i="2" s="1"/>
  <c r="E8" i="2"/>
  <c r="I8" i="2" s="1"/>
  <c r="L8" i="2" s="1"/>
  <c r="D8" i="2"/>
  <c r="H8" i="2" s="1"/>
  <c r="K8" i="2" s="1"/>
  <c r="J7" i="2"/>
  <c r="M7" i="2" s="1"/>
  <c r="E7" i="2"/>
  <c r="I7" i="2" s="1"/>
  <c r="L7" i="2" s="1"/>
  <c r="D7" i="2"/>
  <c r="H7" i="2" s="1"/>
  <c r="K7" i="2" s="1"/>
  <c r="E26" i="1"/>
  <c r="D26" i="1"/>
  <c r="C26" i="1"/>
  <c r="E24" i="1"/>
  <c r="D24" i="1"/>
  <c r="C24" i="1"/>
  <c r="E21" i="1"/>
  <c r="D21" i="1"/>
  <c r="C21" i="1"/>
  <c r="E19" i="1"/>
  <c r="D19" i="1"/>
  <c r="C19" i="1"/>
  <c r="N13" i="2" l="1"/>
  <c r="P13" i="2" s="1"/>
  <c r="O13" i="2" s="1"/>
  <c r="Q13" i="2" s="1"/>
  <c r="W13" i="2" s="1"/>
  <c r="N12" i="2"/>
  <c r="P12" i="2" s="1"/>
  <c r="O12" i="2" s="1"/>
  <c r="Q12" i="2" s="1"/>
  <c r="W12" i="2" s="1"/>
  <c r="N20" i="2"/>
  <c r="P20" i="2" s="1"/>
  <c r="O20" i="2" s="1"/>
  <c r="Q20" i="2" s="1"/>
  <c r="W20" i="2" s="1"/>
  <c r="N8" i="2"/>
  <c r="P8" i="2" s="1"/>
  <c r="O8" i="2" s="1"/>
  <c r="Q8" i="2" s="1"/>
  <c r="W8" i="2" s="1"/>
  <c r="N16" i="2"/>
  <c r="P16" i="2" s="1"/>
  <c r="O16" i="2" s="1"/>
  <c r="Q16" i="2" s="1"/>
  <c r="W16" i="2" s="1"/>
  <c r="N17" i="2"/>
  <c r="P17" i="2" s="1"/>
  <c r="O17" i="2" s="1"/>
  <c r="Q17" i="2" s="1"/>
  <c r="W17" i="2" s="1"/>
  <c r="N9" i="2"/>
  <c r="P9" i="2" s="1"/>
  <c r="O9" i="2" s="1"/>
  <c r="Q9" i="2" s="1"/>
  <c r="W9" i="2" s="1"/>
  <c r="N19" i="2"/>
  <c r="P19" i="2" s="1"/>
  <c r="O19" i="2" s="1"/>
  <c r="Q19" i="2" s="1"/>
  <c r="W19" i="2" s="1"/>
  <c r="N18" i="2"/>
  <c r="P18" i="2" s="1"/>
  <c r="O18" i="2" s="1"/>
  <c r="Q18" i="2" s="1"/>
  <c r="W18" i="2" s="1"/>
  <c r="N11" i="2"/>
  <c r="P11" i="2" s="1"/>
  <c r="O11" i="2" s="1"/>
  <c r="Q11" i="2" s="1"/>
  <c r="W11" i="2" s="1"/>
  <c r="N10" i="2"/>
  <c r="P10" i="2" s="1"/>
  <c r="O10" i="2" s="1"/>
  <c r="Q10" i="2" s="1"/>
  <c r="W10" i="2" s="1"/>
  <c r="N7" i="2"/>
  <c r="P7" i="2" s="1"/>
  <c r="O7" i="2" s="1"/>
  <c r="Q7" i="2" s="1"/>
  <c r="W7" i="2" s="1"/>
  <c r="N15" i="2"/>
  <c r="P15" i="2" s="1"/>
  <c r="O15" i="2" s="1"/>
  <c r="Q15" i="2" s="1"/>
  <c r="W15" i="2" s="1"/>
  <c r="N14" i="2"/>
  <c r="P14" i="2" s="1"/>
  <c r="O14" i="2" s="1"/>
  <c r="Q14" i="2" s="1"/>
  <c r="W14" i="2" s="1"/>
</calcChain>
</file>

<file path=xl/sharedStrings.xml><?xml version="1.0" encoding="utf-8"?>
<sst xmlns="http://schemas.openxmlformats.org/spreadsheetml/2006/main" count="79" uniqueCount="79">
  <si>
    <t xml:space="preserve">Flashing losses from storage tanks </t>
  </si>
  <si>
    <t>Purpose:</t>
  </si>
  <si>
    <t xml:space="preserve">This spreadsheet may be used to estimate flashing losses for production storage tanks. This is done using the Valko and McCain (2003) correlation. </t>
  </si>
  <si>
    <t>The required input information:</t>
  </si>
  <si>
    <t xml:space="preserve">  - Spearator Operating Pressure (kPag)</t>
  </si>
  <si>
    <r>
      <t xml:space="preserve">  - Seperator Operating Temperature (</t>
    </r>
    <r>
      <rPr>
        <sz val="11"/>
        <color indexed="8"/>
        <rFont val="Arial"/>
        <family val="2"/>
      </rPr>
      <t>°C)</t>
    </r>
  </si>
  <si>
    <r>
      <t xml:space="preserve">  - Stock Tank Oil API gravity (</t>
    </r>
    <r>
      <rPr>
        <sz val="11"/>
        <color indexed="8"/>
        <rFont val="Arial"/>
        <family val="2"/>
      </rPr>
      <t>°)</t>
    </r>
  </si>
  <si>
    <r>
      <t xml:space="preserve"> - Oil or condensate production rate (m</t>
    </r>
    <r>
      <rPr>
        <vertAlign val="superscript"/>
        <sz val="11"/>
        <color indexed="8"/>
        <rFont val="Arial"/>
        <family val="2"/>
      </rPr>
      <t>3</t>
    </r>
    <r>
      <rPr>
        <sz val="11"/>
        <color theme="1"/>
        <rFont val="Arial"/>
        <family val="2"/>
      </rPr>
      <t>/d)</t>
    </r>
  </si>
  <si>
    <t xml:space="preserve"> - The standard conditions are set at:  Ts = 15.6°C and Ps = 101.325 kPa</t>
  </si>
  <si>
    <t>The calculations are valid for the following operating conditions:</t>
  </si>
  <si>
    <t>Parameter</t>
  </si>
  <si>
    <t>Minimum</t>
  </si>
  <si>
    <t>Mean</t>
  </si>
  <si>
    <t>Maximum</t>
  </si>
  <si>
    <t>Separator Pressure (psig)</t>
  </si>
  <si>
    <t>Separator Pressure (kPag)</t>
  </si>
  <si>
    <r>
      <t>Seprator Temperature (</t>
    </r>
    <r>
      <rPr>
        <sz val="11"/>
        <color indexed="8"/>
        <rFont val="Arial"/>
        <family val="2"/>
      </rPr>
      <t>°F)</t>
    </r>
  </si>
  <si>
    <r>
      <t>Seprator Temperature (</t>
    </r>
    <r>
      <rPr>
        <sz val="11"/>
        <color indexed="8"/>
        <rFont val="Arial"/>
        <family val="2"/>
      </rPr>
      <t>°C)</t>
    </r>
  </si>
  <si>
    <r>
      <t>Stock-Tank Oil Gavity (</t>
    </r>
    <r>
      <rPr>
        <sz val="11"/>
        <color indexed="8"/>
        <rFont val="Arial"/>
        <family val="2"/>
      </rPr>
      <t>°API)</t>
    </r>
  </si>
  <si>
    <t>Separator GOR (scf/bbl)</t>
  </si>
  <si>
    <r>
      <t>Separator GOR (sm</t>
    </r>
    <r>
      <rPr>
        <vertAlign val="superscript"/>
        <sz val="11"/>
        <color indexed="8"/>
        <rFont val="Arial"/>
        <family val="2"/>
      </rPr>
      <t>3</t>
    </r>
    <r>
      <rPr>
        <sz val="11"/>
        <color theme="1"/>
        <rFont val="Arial"/>
        <family val="2"/>
      </rPr>
      <t>/m</t>
    </r>
    <r>
      <rPr>
        <vertAlign val="superscript"/>
        <sz val="11"/>
        <color indexed="8"/>
        <rFont val="Arial"/>
        <family val="2"/>
      </rPr>
      <t>3</t>
    </r>
    <r>
      <rPr>
        <sz val="11"/>
        <color theme="1"/>
        <rFont val="Arial"/>
        <family val="2"/>
      </rPr>
      <t>)</t>
    </r>
  </si>
  <si>
    <t>Stock-Tank GOR (scf/bbl)</t>
  </si>
  <si>
    <r>
      <t>Stock-Tank GOR (sm</t>
    </r>
    <r>
      <rPr>
        <vertAlign val="superscript"/>
        <sz val="11"/>
        <color indexed="8"/>
        <rFont val="Arial"/>
        <family val="2"/>
      </rPr>
      <t>3</t>
    </r>
    <r>
      <rPr>
        <sz val="11"/>
        <color theme="1"/>
        <rFont val="Arial"/>
        <family val="2"/>
      </rPr>
      <t>/m</t>
    </r>
    <r>
      <rPr>
        <vertAlign val="superscript"/>
        <sz val="11"/>
        <color indexed="8"/>
        <rFont val="Arial"/>
        <family val="2"/>
      </rPr>
      <t>3</t>
    </r>
    <r>
      <rPr>
        <sz val="11"/>
        <color theme="1"/>
        <rFont val="Arial"/>
        <family val="2"/>
      </rPr>
      <t>)</t>
    </r>
  </si>
  <si>
    <t>Surface Gas Specific Gravity</t>
  </si>
  <si>
    <t>Separator Gas Specifc Gravity</t>
  </si>
  <si>
    <t>Stock-Tanks Gas Specific Gravity</t>
  </si>
  <si>
    <t>Note:</t>
  </si>
  <si>
    <r>
      <t>The flash emissions under column Q of the ''Valko and McCain Correlation sheet'' are calculated as gas flow rate (sm</t>
    </r>
    <r>
      <rPr>
        <vertAlign val="superscript"/>
        <sz val="11"/>
        <color theme="1"/>
        <rFont val="Arial"/>
        <family val="2"/>
      </rPr>
      <t>3</t>
    </r>
    <r>
      <rPr>
        <sz val="11"/>
        <color theme="1"/>
        <rFont val="Arial"/>
        <family val="2"/>
      </rPr>
      <t>/day) and this includes the Non-VOC and VOC substances. In order to estimate the annual NPRI VOC emissions (in tonnes), you should convert the gas flow rate to to the mass flow rate using the Ideal gas law as follows:</t>
    </r>
  </si>
  <si>
    <r>
      <t>E</t>
    </r>
    <r>
      <rPr>
        <vertAlign val="subscript"/>
        <sz val="11"/>
        <color theme="1"/>
        <rFont val="Arial"/>
        <family val="2"/>
      </rPr>
      <t>VOC</t>
    </r>
    <r>
      <rPr>
        <sz val="11"/>
        <color theme="1"/>
        <rFont val="Arial"/>
        <family val="2"/>
      </rPr>
      <t xml:space="preserve"> (tonnes/year) = X</t>
    </r>
    <r>
      <rPr>
        <vertAlign val="subscript"/>
        <sz val="11"/>
        <color theme="1"/>
        <rFont val="Arial"/>
        <family val="2"/>
      </rPr>
      <t>VOC</t>
    </r>
    <r>
      <rPr>
        <sz val="11"/>
        <color theme="1"/>
        <rFont val="Arial"/>
        <family val="2"/>
      </rPr>
      <t>*Q (sm</t>
    </r>
    <r>
      <rPr>
        <vertAlign val="superscript"/>
        <sz val="11"/>
        <color theme="1"/>
        <rFont val="Arial"/>
        <family val="2"/>
      </rPr>
      <t>3</t>
    </r>
    <r>
      <rPr>
        <sz val="11"/>
        <color theme="1"/>
        <rFont val="Arial"/>
        <family val="2"/>
      </rPr>
      <t>/day)* MW (g/mol)* 42.23 (gmol/sm</t>
    </r>
    <r>
      <rPr>
        <vertAlign val="superscript"/>
        <sz val="11"/>
        <color theme="1"/>
        <rFont val="Arial"/>
        <family val="2"/>
      </rPr>
      <t>3</t>
    </r>
    <r>
      <rPr>
        <sz val="11"/>
        <color theme="1"/>
        <rFont val="Arial"/>
        <family val="2"/>
      </rPr>
      <t>)*0.000001 (tonnes/g)*Number of days per yer (days/year)</t>
    </r>
  </si>
  <si>
    <t>Column W in the ''Valko and McCain Correlation sheet'' includes the calculated annual VOC flash gas emissions (tonnes/year) to be included  in the NPRI VOC threshold calculation and reporting.</t>
  </si>
  <si>
    <t>Where:</t>
  </si>
  <si>
    <r>
      <t>E</t>
    </r>
    <r>
      <rPr>
        <vertAlign val="subscript"/>
        <sz val="11"/>
        <color theme="1"/>
        <rFont val="Arial"/>
        <family val="2"/>
      </rPr>
      <t>VOC</t>
    </r>
  </si>
  <si>
    <t xml:space="preserve">VOC emissions </t>
  </si>
  <si>
    <t>Q</t>
  </si>
  <si>
    <t xml:space="preserve">The flash emissions under column Q of the  ''Valko and McCain Correlation sheet'' </t>
  </si>
  <si>
    <t>MW</t>
  </si>
  <si>
    <t>Storage tank gas molecular weight</t>
  </si>
  <si>
    <r>
      <t>X</t>
    </r>
    <r>
      <rPr>
        <vertAlign val="subscript"/>
        <sz val="11"/>
        <color theme="1"/>
        <rFont val="Arial"/>
        <family val="2"/>
      </rPr>
      <t>VOC</t>
    </r>
  </si>
  <si>
    <t xml:space="preserve">Storage tank gas VOC mass fraction </t>
  </si>
  <si>
    <r>
      <t>Number from the ideal gas law (P</t>
    </r>
    <r>
      <rPr>
        <vertAlign val="subscript"/>
        <sz val="11"/>
        <color theme="1"/>
        <rFont val="Arial"/>
        <family val="2"/>
      </rPr>
      <t>s</t>
    </r>
    <r>
      <rPr>
        <sz val="11"/>
        <color theme="1"/>
        <rFont val="Arial"/>
        <family val="2"/>
      </rPr>
      <t>/R*T</t>
    </r>
    <r>
      <rPr>
        <vertAlign val="subscript"/>
        <sz val="11"/>
        <color theme="1"/>
        <rFont val="Arial"/>
        <family val="2"/>
      </rPr>
      <t>s</t>
    </r>
    <r>
      <rPr>
        <sz val="11"/>
        <color theme="1"/>
        <rFont val="Arial"/>
        <family val="2"/>
      </rPr>
      <t>) where the standard conditions are set at:  Ts = 15.6°C  (288.6 K) and Ps = 101.325 kPa</t>
    </r>
  </si>
  <si>
    <t>R</t>
  </si>
  <si>
    <r>
      <t>Ideal gas law constant 8.314  (Pa-m</t>
    </r>
    <r>
      <rPr>
        <vertAlign val="superscript"/>
        <sz val="11"/>
        <color theme="1"/>
        <rFont val="Arial"/>
        <family val="2"/>
      </rPr>
      <t>3</t>
    </r>
    <r>
      <rPr>
        <sz val="11"/>
        <color theme="1"/>
        <rFont val="Arial"/>
        <family val="2"/>
      </rPr>
      <t>/mol-K)</t>
    </r>
  </si>
  <si>
    <r>
      <t>To estimate the other non-VOC NPRI substances from flash-gas emissions (e.g.H</t>
    </r>
    <r>
      <rPr>
        <vertAlign val="subscript"/>
        <sz val="11"/>
        <color theme="1"/>
        <rFont val="Arial"/>
        <family val="2"/>
      </rPr>
      <t>2</t>
    </r>
    <r>
      <rPr>
        <sz val="11"/>
        <color theme="1"/>
        <rFont val="Arial"/>
        <family val="2"/>
      </rPr>
      <t>S),  replace  X</t>
    </r>
    <r>
      <rPr>
        <vertAlign val="subscript"/>
        <sz val="11"/>
        <color theme="1"/>
        <rFont val="Arial"/>
        <family val="2"/>
      </rPr>
      <t>VOC</t>
    </r>
    <r>
      <rPr>
        <sz val="11"/>
        <color theme="1"/>
        <rFont val="Arial"/>
        <family val="2"/>
      </rPr>
      <t xml:space="preserve"> with their mass fraction in the storage tank gas.</t>
    </r>
  </si>
  <si>
    <t>Input Field</t>
  </si>
  <si>
    <t>Calculation Field</t>
  </si>
  <si>
    <t>Valko and McCain Correlation (2003)</t>
  </si>
  <si>
    <t>Results Field</t>
  </si>
  <si>
    <t>Site or System Name</t>
  </si>
  <si>
    <t>Separator operating condtions</t>
  </si>
  <si>
    <t>Storage tank oil</t>
  </si>
  <si>
    <t>Correlation Parameters</t>
  </si>
  <si>
    <t>Calculated
Flash Gas Factor</t>
  </si>
  <si>
    <t>Flash-Gas
Emissions per day</t>
  </si>
  <si>
    <t>Storage tank gas parameters</t>
  </si>
  <si>
    <t>Standard conditions</t>
  </si>
  <si>
    <t xml:space="preserve">Operating days per year </t>
  </si>
  <si>
    <t xml:space="preserve">Annual flash-gas VOC emissions </t>
  </si>
  <si>
    <t>Pressure
(kPag)</t>
  </si>
  <si>
    <t>Temperature
(C)</t>
  </si>
  <si>
    <t>Pressure
(psig)</t>
  </si>
  <si>
    <t>Temperature
(F)</t>
  </si>
  <si>
    <r>
      <t>Oil Production per day
(m</t>
    </r>
    <r>
      <rPr>
        <b/>
        <vertAlign val="superscript"/>
        <sz val="11"/>
        <color indexed="8"/>
        <rFont val="Calibri"/>
        <family val="2"/>
      </rPr>
      <t>3</t>
    </r>
    <r>
      <rPr>
        <b/>
        <sz val="11"/>
        <color indexed="8"/>
        <rFont val="Calibri"/>
        <family val="2"/>
      </rPr>
      <t>/d)</t>
    </r>
  </si>
  <si>
    <r>
      <t>Oil Gravity
(</t>
    </r>
    <r>
      <rPr>
        <b/>
        <sz val="11"/>
        <color indexed="8"/>
        <rFont val="Calibri"/>
        <family val="2"/>
      </rPr>
      <t>°API)</t>
    </r>
  </si>
  <si>
    <t>lnPsp</t>
  </si>
  <si>
    <t>LnTsp</t>
  </si>
  <si>
    <t>API</t>
  </si>
  <si>
    <t>z1</t>
  </si>
  <si>
    <t>Z2</t>
  </si>
  <si>
    <t>z3</t>
  </si>
  <si>
    <t>z</t>
  </si>
  <si>
    <r>
      <t>sm</t>
    </r>
    <r>
      <rPr>
        <b/>
        <vertAlign val="superscript"/>
        <sz val="12"/>
        <color indexed="8"/>
        <rFont val="Calibri"/>
        <family val="2"/>
      </rPr>
      <t xml:space="preserve">3 </t>
    </r>
    <r>
      <rPr>
        <b/>
        <sz val="12"/>
        <color indexed="8"/>
        <rFont val="Calibri"/>
        <family val="2"/>
      </rPr>
      <t>Gas/m</t>
    </r>
    <r>
      <rPr>
        <b/>
        <vertAlign val="superscript"/>
        <sz val="12"/>
        <color indexed="8"/>
        <rFont val="Calibri"/>
        <family val="2"/>
      </rPr>
      <t>3</t>
    </r>
    <r>
      <rPr>
        <b/>
        <sz val="12"/>
        <color indexed="8"/>
        <rFont val="Calibri"/>
        <family val="2"/>
      </rPr>
      <t xml:space="preserve"> of Oil</t>
    </r>
  </si>
  <si>
    <t>SCF/BBL</t>
  </si>
  <si>
    <r>
      <t>(sm</t>
    </r>
    <r>
      <rPr>
        <b/>
        <vertAlign val="superscript"/>
        <sz val="11"/>
        <color indexed="8"/>
        <rFont val="Calibri"/>
        <family val="2"/>
      </rPr>
      <t>3</t>
    </r>
    <r>
      <rPr>
        <b/>
        <sz val="11"/>
        <color indexed="8"/>
        <rFont val="Calibri"/>
        <family val="2"/>
      </rPr>
      <t>/d)</t>
    </r>
  </si>
  <si>
    <t>MW (g/mol)</t>
  </si>
  <si>
    <t xml:space="preserve">Xvoc </t>
  </si>
  <si>
    <t>Ps (Pa)</t>
  </si>
  <si>
    <t>Ts (K)</t>
  </si>
  <si>
    <t>Days/year</t>
  </si>
  <si>
    <t>tonnes/year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</si>
</sst>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b/>
      <sz val="12"/>
      <color theme="1"/>
      <name val="Calibri"/>
      <family val="2"/>
      <scheme val="minor"/>
    </font>
    <font>
      <b/>
      <vertAlign val="superscript"/>
      <sz val="11"/>
      <color indexed="8"/>
      <name val="Calibri"/>
      <family val="2"/>
    </font>
    <font>
      <b/>
      <sz val="11"/>
      <color indexed="8"/>
      <name val="Calibri"/>
      <family val="2"/>
    </font>
    <font>
      <b/>
      <vertAlign val="superscript"/>
      <sz val="12"/>
      <color indexed="8"/>
      <name val="Calibri"/>
      <family val="2"/>
    </font>
    <font>
      <b/>
      <sz val="12"/>
      <color indexed="8"/>
      <name val="Calibri"/>
      <family val="2"/>
    </font>
    <font>
      <b/>
      <u/>
      <sz val="14"/>
      <name val="Arial"/>
      <family val="2"/>
    </font>
    <font>
      <b/>
      <u/>
      <sz val="11"/>
      <color theme="1"/>
      <name val="Arial"/>
      <family val="2"/>
    </font>
    <font>
      <sz val="11"/>
      <color theme="1"/>
      <name val="Arial"/>
      <family val="2"/>
    </font>
    <font>
      <b/>
      <sz val="11"/>
      <color theme="1"/>
      <name val="Arial"/>
      <family val="2"/>
    </font>
    <font>
      <sz val="11"/>
      <color indexed="8"/>
      <name val="Arial"/>
      <family val="2"/>
    </font>
    <font>
      <vertAlign val="superscript"/>
      <sz val="11"/>
      <color indexed="8"/>
      <name val="Arial"/>
      <family val="2"/>
    </font>
    <font>
      <b/>
      <u/>
      <sz val="11"/>
      <name val="Arial"/>
      <family val="2"/>
    </font>
    <font>
      <vertAlign val="superscript"/>
      <sz val="11"/>
      <color theme="1"/>
      <name val="Arial"/>
      <family val="2"/>
    </font>
    <font>
      <vertAlign val="subscript"/>
      <sz val="11"/>
      <color theme="1"/>
      <name val="Arial"/>
      <family val="2"/>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3F3F3F"/>
      </left>
      <right/>
      <top style="thin">
        <color rgb="FF3F3F3F"/>
      </top>
      <bottom style="thin">
        <color rgb="FF3F3F3F"/>
      </bottom>
      <diagonal/>
    </border>
    <border>
      <left style="thin">
        <color rgb="FF3F3F3F"/>
      </left>
      <right style="thin">
        <color rgb="FF3F3F3F"/>
      </right>
      <top style="thin">
        <color rgb="FF3F3F3F"/>
      </top>
      <bottom style="thin">
        <color indexed="64"/>
      </bottom>
      <diagonal/>
    </border>
  </borders>
  <cellStyleXfs count="4">
    <xf numFmtId="0" fontId="0" fillId="0" borderId="0"/>
    <xf numFmtId="0" fontId="1" fillId="2" borderId="1" applyNumberFormat="0" applyAlignment="0" applyProtection="0"/>
    <xf numFmtId="0" fontId="2" fillId="3" borderId="2" applyNumberFormat="0" applyAlignment="0" applyProtection="0"/>
    <xf numFmtId="0" fontId="3" fillId="3" borderId="1" applyNumberFormat="0" applyAlignment="0" applyProtection="0"/>
  </cellStyleXfs>
  <cellXfs count="63">
    <xf numFmtId="0" fontId="0" fillId="0" borderId="0" xfId="0"/>
    <xf numFmtId="0" fontId="0" fillId="0" borderId="0" xfId="0" applyAlignment="1">
      <alignment vertical="top"/>
    </xf>
    <xf numFmtId="0" fontId="5" fillId="0" borderId="0" xfId="0" applyFont="1" applyAlignment="1">
      <alignment vertical="top"/>
    </xf>
    <xf numFmtId="0" fontId="1" fillId="2" borderId="1" xfId="1" applyAlignment="1" applyProtection="1">
      <alignment vertical="top"/>
      <protection locked="0"/>
    </xf>
    <xf numFmtId="164" fontId="1" fillId="2" borderId="1" xfId="1" applyNumberFormat="1" applyAlignment="1" applyProtection="1">
      <alignment vertical="top"/>
      <protection locked="0"/>
    </xf>
    <xf numFmtId="164" fontId="3" fillId="3" borderId="1" xfId="3" applyNumberFormat="1" applyAlignment="1">
      <alignment horizontal="center" vertical="top"/>
    </xf>
    <xf numFmtId="0" fontId="1" fillId="2" borderId="1" xfId="1" applyAlignment="1" applyProtection="1">
      <alignment horizontal="center" vertical="top"/>
      <protection locked="0"/>
    </xf>
    <xf numFmtId="0" fontId="3" fillId="3" borderId="1" xfId="3" applyAlignment="1" applyProtection="1">
      <alignment horizontal="center" vertical="top"/>
      <protection hidden="1"/>
    </xf>
    <xf numFmtId="165" fontId="3" fillId="3" borderId="1" xfId="3" applyNumberFormat="1" applyAlignment="1" applyProtection="1">
      <alignment horizontal="center" vertical="top"/>
      <protection hidden="1"/>
    </xf>
    <xf numFmtId="2" fontId="2" fillId="3" borderId="2" xfId="2" applyNumberFormat="1" applyAlignment="1">
      <alignment horizontal="center" vertical="top"/>
    </xf>
    <xf numFmtId="164" fontId="2" fillId="3" borderId="9" xfId="2" applyNumberFormat="1" applyBorder="1" applyAlignment="1">
      <alignment horizontal="center" vertical="top"/>
    </xf>
    <xf numFmtId="0" fontId="1" fillId="2" borderId="1" xfId="1" applyAlignment="1">
      <alignment vertical="top"/>
    </xf>
    <xf numFmtId="0" fontId="3" fillId="3" borderId="1" xfId="3" applyAlignment="1">
      <alignment vertical="top"/>
    </xf>
    <xf numFmtId="0" fontId="2" fillId="3" borderId="2" xfId="2" applyAlignment="1">
      <alignment vertical="top"/>
    </xf>
    <xf numFmtId="164" fontId="2" fillId="3" borderId="9" xfId="2" applyNumberFormat="1" applyBorder="1" applyAlignment="1">
      <alignment vertical="top"/>
    </xf>
    <xf numFmtId="0" fontId="1" fillId="2" borderId="3" xfId="1" applyBorder="1" applyAlignment="1" applyProtection="1">
      <alignment horizontal="center" vertical="top"/>
      <protection locked="0"/>
    </xf>
    <xf numFmtId="0" fontId="0" fillId="0" borderId="3" xfId="0" applyBorder="1" applyAlignment="1">
      <alignment horizontal="center"/>
    </xf>
    <xf numFmtId="165" fontId="4" fillId="0" borderId="3" xfId="0" quotePrefix="1" applyNumberFormat="1" applyFont="1" applyBorder="1" applyAlignment="1">
      <alignment horizontal="center"/>
    </xf>
    <xf numFmtId="0" fontId="4" fillId="7"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3" xfId="0" applyFont="1" applyFill="1" applyBorder="1" applyAlignment="1" applyProtection="1">
      <alignment horizontal="center" vertical="center" wrapText="1"/>
      <protection hidden="1"/>
    </xf>
    <xf numFmtId="0" fontId="5" fillId="5" borderId="3" xfId="0" applyFont="1" applyFill="1" applyBorder="1" applyAlignment="1" applyProtection="1">
      <alignment horizontal="center" vertical="center"/>
      <protection hidden="1"/>
    </xf>
    <xf numFmtId="0" fontId="5" fillId="5" borderId="3"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5" xfId="0" applyFont="1" applyFill="1" applyBorder="1" applyAlignment="1">
      <alignment vertical="center"/>
    </xf>
    <xf numFmtId="0" fontId="5" fillId="7" borderId="3" xfId="0" applyFont="1" applyFill="1" applyBorder="1" applyAlignment="1">
      <alignment horizontal="center" vertical="center" wrapText="1"/>
    </xf>
    <xf numFmtId="0" fontId="11" fillId="0" borderId="0" xfId="0" applyFont="1"/>
    <xf numFmtId="0" fontId="12" fillId="0" borderId="0" xfId="0" applyFont="1"/>
    <xf numFmtId="0" fontId="13" fillId="0" borderId="0" xfId="0" applyFont="1"/>
    <xf numFmtId="0" fontId="12" fillId="0" borderId="0" xfId="0" quotePrefix="1" applyFont="1"/>
    <xf numFmtId="0" fontId="13" fillId="4" borderId="3" xfId="0" applyFont="1" applyFill="1" applyBorder="1"/>
    <xf numFmtId="0" fontId="12" fillId="0" borderId="3" xfId="0" applyFont="1" applyBorder="1" applyProtection="1">
      <protection locked="0" hidden="1"/>
    </xf>
    <xf numFmtId="0" fontId="12" fillId="0" borderId="3" xfId="0" applyFont="1" applyBorder="1"/>
    <xf numFmtId="164" fontId="12" fillId="0" borderId="3" xfId="0" applyNumberFormat="1" applyFont="1" applyBorder="1"/>
    <xf numFmtId="0" fontId="16" fillId="0" borderId="0" xfId="0" applyFont="1"/>
    <xf numFmtId="0" fontId="12" fillId="0" borderId="0" xfId="0" applyFont="1" applyAlignment="1">
      <alignment wrapText="1"/>
    </xf>
    <xf numFmtId="0" fontId="12" fillId="6" borderId="0" xfId="0" applyFont="1" applyFill="1"/>
    <xf numFmtId="0" fontId="12" fillId="0" borderId="0" xfId="0" applyFont="1" applyAlignment="1">
      <alignment horizontal="left"/>
    </xf>
    <xf numFmtId="0" fontId="1" fillId="8" borderId="1" xfId="1" applyFill="1" applyAlignment="1">
      <alignment vertical="top"/>
    </xf>
    <xf numFmtId="0" fontId="3" fillId="8" borderId="1" xfId="3" applyFill="1" applyAlignment="1">
      <alignment vertical="top"/>
    </xf>
    <xf numFmtId="0" fontId="2" fillId="8" borderId="10" xfId="2" applyFill="1" applyBorder="1" applyAlignment="1">
      <alignment vertical="top"/>
    </xf>
    <xf numFmtId="0" fontId="0" fillId="0" borderId="0" xfId="0" applyProtection="1">
      <protection locked="0"/>
    </xf>
    <xf numFmtId="0" fontId="4" fillId="7" borderId="3" xfId="0" applyFont="1" applyFill="1" applyBorder="1" applyAlignment="1" applyProtection="1">
      <alignment horizontal="center" vertical="center" wrapText="1"/>
      <protection locked="0"/>
    </xf>
    <xf numFmtId="164" fontId="1" fillId="2" borderId="1" xfId="1" applyNumberFormat="1" applyAlignment="1" applyProtection="1">
      <alignment horizontal="center" vertical="top"/>
      <protection locked="0"/>
    </xf>
    <xf numFmtId="0" fontId="12" fillId="0" borderId="0" xfId="0" applyFont="1" applyAlignment="1">
      <alignment wrapText="1"/>
    </xf>
    <xf numFmtId="49" fontId="10" fillId="0" borderId="0" xfId="0" applyNumberFormat="1" applyFont="1" applyAlignment="1">
      <alignment horizontal="center" wrapText="1"/>
    </xf>
    <xf numFmtId="0" fontId="0" fillId="0" borderId="0" xfId="0" applyAlignment="1">
      <alignment horizont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5" xfId="0" applyFont="1" applyFill="1" applyBorder="1" applyAlignment="1">
      <alignment vertical="center"/>
    </xf>
    <xf numFmtId="0" fontId="4" fillId="7" borderId="6" xfId="0" applyFont="1" applyFill="1" applyBorder="1" applyAlignment="1">
      <alignment vertical="center"/>
    </xf>
    <xf numFmtId="0" fontId="0" fillId="5" borderId="4" xfId="0" applyFill="1" applyBorder="1" applyAlignment="1">
      <alignment vertical="top"/>
    </xf>
    <xf numFmtId="0" fontId="0" fillId="5" borderId="8" xfId="0" applyFill="1" applyBorder="1" applyAlignment="1">
      <alignment vertical="top"/>
    </xf>
    <xf numFmtId="0" fontId="4" fillId="5" borderId="5"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5" xfId="0" applyFont="1" applyFill="1" applyBorder="1" applyAlignment="1" applyProtection="1">
      <alignment horizontal="center" vertical="center" wrapText="1"/>
      <protection hidden="1"/>
    </xf>
    <xf numFmtId="0" fontId="4" fillId="5" borderId="7" xfId="0" applyFont="1" applyFill="1" applyBorder="1" applyAlignment="1" applyProtection="1">
      <alignment horizontal="center" vertical="center" wrapText="1"/>
      <protection hidden="1"/>
    </xf>
    <xf numFmtId="0" fontId="4" fillId="5" borderId="6" xfId="0" applyFont="1" applyFill="1" applyBorder="1" applyAlignment="1" applyProtection="1">
      <alignment horizontal="center" vertical="center" wrapText="1"/>
      <protection hidden="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cellXfs>
  <cellStyles count="4">
    <cellStyle name="Calculation" xfId="3" builtinId="22"/>
    <cellStyle name="Input" xfId="1" builtinId="20"/>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1720850</xdr:colOff>
      <xdr:row>2</xdr:row>
      <xdr:rowOff>101600</xdr:rowOff>
    </xdr:to>
    <xdr:pic>
      <xdr:nvPicPr>
        <xdr:cNvPr id="7" name="Pictur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2095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381000</xdr:colOff>
      <xdr:row>2</xdr:row>
      <xdr:rowOff>31750</xdr:rowOff>
    </xdr:to>
    <xdr:pic>
      <xdr:nvPicPr>
        <xdr:cNvPr id="8" name="Picture 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39050" y="0"/>
          <a:ext cx="1181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4"/>
  <sheetViews>
    <sheetView tabSelected="1" workbookViewId="0">
      <selection activeCell="A4" sqref="A4:I4"/>
    </sheetView>
  </sheetViews>
  <sheetFormatPr defaultColWidth="11.42578125" defaultRowHeight="15"/>
  <cols>
    <col min="2" max="2" width="29.140625" customWidth="1"/>
  </cols>
  <sheetData>
    <row r="4" spans="1:13">
      <c r="A4" s="45" t="s">
        <v>0</v>
      </c>
      <c r="B4" s="46"/>
      <c r="C4" s="46"/>
      <c r="D4" s="46"/>
      <c r="E4" s="46"/>
      <c r="F4" s="46"/>
      <c r="G4" s="46"/>
      <c r="H4" s="46"/>
      <c r="I4" s="46"/>
    </row>
    <row r="6" spans="1:13">
      <c r="A6" s="26" t="s">
        <v>1</v>
      </c>
      <c r="B6" s="27"/>
      <c r="C6" s="27"/>
      <c r="D6" s="27"/>
      <c r="E6" s="27"/>
      <c r="F6" s="27"/>
      <c r="G6" s="27"/>
      <c r="H6" s="27"/>
      <c r="I6" s="27"/>
      <c r="J6" s="27"/>
      <c r="K6" s="27"/>
      <c r="L6" s="27"/>
      <c r="M6" s="27"/>
    </row>
    <row r="7" spans="1:13">
      <c r="A7" s="27" t="s">
        <v>2</v>
      </c>
      <c r="B7" s="27"/>
      <c r="C7" s="27"/>
      <c r="D7" s="27"/>
      <c r="E7" s="27"/>
      <c r="F7" s="27"/>
      <c r="G7" s="27"/>
      <c r="H7" s="27"/>
      <c r="I7" s="27"/>
      <c r="J7" s="27"/>
      <c r="K7" s="27"/>
      <c r="L7" s="27"/>
      <c r="M7" s="27"/>
    </row>
    <row r="8" spans="1:13">
      <c r="A8" s="27"/>
      <c r="B8" s="27"/>
      <c r="C8" s="27"/>
      <c r="D8" s="27"/>
      <c r="E8" s="27"/>
      <c r="F8" s="27"/>
      <c r="G8" s="27"/>
      <c r="H8" s="27"/>
      <c r="I8" s="27"/>
      <c r="J8" s="27"/>
      <c r="K8" s="27"/>
      <c r="L8" s="27"/>
      <c r="M8" s="27"/>
    </row>
    <row r="9" spans="1:13">
      <c r="A9" s="26" t="s">
        <v>3</v>
      </c>
      <c r="B9" s="28"/>
      <c r="C9" s="27"/>
      <c r="D9" s="27"/>
      <c r="E9" s="27"/>
      <c r="F9" s="27"/>
      <c r="G9" s="27"/>
      <c r="H9" s="27"/>
      <c r="I9" s="27"/>
      <c r="J9" s="27"/>
      <c r="K9" s="27"/>
      <c r="L9" s="27"/>
      <c r="M9" s="27"/>
    </row>
    <row r="10" spans="1:13">
      <c r="A10" s="27"/>
      <c r="B10" s="29" t="s">
        <v>4</v>
      </c>
      <c r="C10" s="29"/>
      <c r="D10" s="27"/>
      <c r="E10" s="27"/>
      <c r="F10" s="27"/>
      <c r="G10" s="27"/>
      <c r="H10" s="27"/>
      <c r="I10" s="27"/>
      <c r="J10" s="27"/>
      <c r="K10" s="27"/>
      <c r="L10" s="27"/>
      <c r="M10" s="27"/>
    </row>
    <row r="11" spans="1:13">
      <c r="A11" s="27"/>
      <c r="B11" s="29" t="s">
        <v>5</v>
      </c>
      <c r="C11" s="29"/>
      <c r="D11" s="27"/>
      <c r="E11" s="27"/>
      <c r="F11" s="27"/>
      <c r="G11" s="27"/>
      <c r="H11" s="27"/>
      <c r="I11" s="27"/>
      <c r="J11" s="27"/>
      <c r="K11" s="27"/>
      <c r="L11" s="27"/>
      <c r="M11" s="27"/>
    </row>
    <row r="12" spans="1:13">
      <c r="A12" s="27"/>
      <c r="B12" s="27" t="s">
        <v>6</v>
      </c>
      <c r="C12" s="27"/>
      <c r="D12" s="27"/>
      <c r="E12" s="27"/>
      <c r="F12" s="27"/>
      <c r="G12" s="27"/>
      <c r="H12" s="27"/>
      <c r="I12" s="27"/>
      <c r="J12" s="27"/>
      <c r="K12" s="27"/>
      <c r="L12" s="27"/>
      <c r="M12" s="27"/>
    </row>
    <row r="13" spans="1:13" ht="17.25">
      <c r="A13" s="27"/>
      <c r="B13" s="29" t="s">
        <v>7</v>
      </c>
      <c r="C13" s="27"/>
      <c r="D13" s="27"/>
      <c r="E13" s="27"/>
      <c r="F13" s="27"/>
      <c r="G13" s="27"/>
      <c r="H13" s="27"/>
      <c r="I13" s="27"/>
      <c r="J13" s="27"/>
      <c r="K13" s="27"/>
      <c r="L13" s="27"/>
      <c r="M13" s="27"/>
    </row>
    <row r="14" spans="1:13">
      <c r="A14" s="27"/>
      <c r="B14" s="29" t="s">
        <v>8</v>
      </c>
      <c r="C14" s="27"/>
      <c r="D14" s="27"/>
      <c r="E14" s="27"/>
      <c r="F14" s="27"/>
      <c r="G14" s="27"/>
      <c r="H14" s="27"/>
      <c r="I14" s="27"/>
      <c r="J14" s="27"/>
      <c r="K14" s="27"/>
      <c r="L14" s="27"/>
      <c r="M14" s="27"/>
    </row>
    <row r="15" spans="1:13">
      <c r="A15" s="27"/>
      <c r="B15" s="27" t="s">
        <v>9</v>
      </c>
      <c r="C15" s="27"/>
      <c r="D15" s="27"/>
      <c r="E15" s="27"/>
      <c r="F15" s="27"/>
      <c r="G15" s="27"/>
      <c r="H15" s="27"/>
      <c r="I15" s="27"/>
      <c r="J15" s="27"/>
      <c r="K15" s="27"/>
      <c r="L15" s="27"/>
      <c r="M15" s="27"/>
    </row>
    <row r="16" spans="1:13">
      <c r="A16" s="27"/>
      <c r="B16" s="27"/>
      <c r="C16" s="27"/>
      <c r="D16" s="27"/>
      <c r="E16" s="27"/>
      <c r="F16" s="27"/>
      <c r="G16" s="27"/>
      <c r="H16" s="27"/>
      <c r="I16" s="27"/>
      <c r="J16" s="27"/>
      <c r="K16" s="27"/>
      <c r="L16" s="27"/>
      <c r="M16" s="27"/>
    </row>
    <row r="17" spans="1:13">
      <c r="A17" s="27"/>
      <c r="B17" s="30" t="s">
        <v>10</v>
      </c>
      <c r="C17" s="30" t="s">
        <v>11</v>
      </c>
      <c r="D17" s="30" t="s">
        <v>12</v>
      </c>
      <c r="E17" s="30" t="s">
        <v>13</v>
      </c>
      <c r="F17" s="27"/>
      <c r="G17" s="27"/>
      <c r="H17" s="27"/>
      <c r="I17" s="27"/>
      <c r="J17" s="27"/>
      <c r="K17" s="27"/>
      <c r="L17" s="27"/>
      <c r="M17" s="27"/>
    </row>
    <row r="18" spans="1:13">
      <c r="A18" s="27"/>
      <c r="B18" s="31" t="s">
        <v>14</v>
      </c>
      <c r="C18" s="31">
        <v>12</v>
      </c>
      <c r="D18" s="31">
        <v>130</v>
      </c>
      <c r="E18" s="31">
        <v>950</v>
      </c>
      <c r="F18" s="27"/>
      <c r="G18" s="27"/>
      <c r="H18" s="27"/>
      <c r="I18" s="27"/>
      <c r="J18" s="27"/>
      <c r="K18" s="27"/>
      <c r="L18" s="27"/>
      <c r="M18" s="27"/>
    </row>
    <row r="19" spans="1:13">
      <c r="A19" s="27"/>
      <c r="B19" s="32" t="s">
        <v>15</v>
      </c>
      <c r="C19" s="32">
        <f>C18*6.895</f>
        <v>82.74</v>
      </c>
      <c r="D19" s="32">
        <f>D18*6.895</f>
        <v>896.34999999999991</v>
      </c>
      <c r="E19" s="32">
        <f>E18*6.895</f>
        <v>6550.25</v>
      </c>
      <c r="F19" s="27"/>
      <c r="G19" s="27"/>
      <c r="H19" s="27"/>
      <c r="I19" s="27"/>
      <c r="J19" s="27"/>
      <c r="K19" s="27"/>
      <c r="L19" s="27"/>
      <c r="M19" s="27"/>
    </row>
    <row r="20" spans="1:13">
      <c r="A20" s="27"/>
      <c r="B20" s="31" t="s">
        <v>16</v>
      </c>
      <c r="C20" s="31">
        <v>35</v>
      </c>
      <c r="D20" s="31">
        <v>92</v>
      </c>
      <c r="E20" s="31">
        <v>194</v>
      </c>
      <c r="F20" s="27"/>
      <c r="G20" s="27"/>
      <c r="H20" s="27"/>
      <c r="I20" s="27"/>
      <c r="J20" s="27"/>
      <c r="K20" s="27"/>
      <c r="L20" s="27"/>
      <c r="M20" s="27"/>
    </row>
    <row r="21" spans="1:13">
      <c r="A21" s="27"/>
      <c r="B21" s="32" t="s">
        <v>17</v>
      </c>
      <c r="C21" s="33">
        <f>(C20-32)/1.8</f>
        <v>1.6666666666666665</v>
      </c>
      <c r="D21" s="33">
        <f>(D20-32)/1.8</f>
        <v>33.333333333333336</v>
      </c>
      <c r="E21" s="33">
        <f>(E20-32)/1.8</f>
        <v>90</v>
      </c>
      <c r="F21" s="27"/>
      <c r="G21" s="27"/>
      <c r="H21" s="27"/>
      <c r="I21" s="27"/>
      <c r="J21" s="27"/>
      <c r="K21" s="27"/>
      <c r="L21" s="27"/>
      <c r="M21" s="27"/>
    </row>
    <row r="22" spans="1:13">
      <c r="A22" s="27"/>
      <c r="B22" s="32" t="s">
        <v>18</v>
      </c>
      <c r="C22" s="32">
        <v>6</v>
      </c>
      <c r="D22" s="32">
        <v>36.200000000000003</v>
      </c>
      <c r="E22" s="32">
        <v>56.8</v>
      </c>
      <c r="F22" s="27"/>
      <c r="G22" s="27"/>
      <c r="H22" s="27"/>
      <c r="I22" s="27"/>
      <c r="J22" s="27"/>
      <c r="K22" s="27"/>
      <c r="L22" s="27"/>
      <c r="M22" s="27"/>
    </row>
    <row r="23" spans="1:13">
      <c r="A23" s="27"/>
      <c r="B23" s="31" t="s">
        <v>19</v>
      </c>
      <c r="C23" s="31">
        <v>8</v>
      </c>
      <c r="D23" s="31">
        <v>559</v>
      </c>
      <c r="E23" s="31">
        <v>1817</v>
      </c>
      <c r="F23" s="27"/>
      <c r="G23" s="27"/>
      <c r="H23" s="27"/>
      <c r="I23" s="27"/>
      <c r="J23" s="27"/>
      <c r="K23" s="27"/>
      <c r="L23" s="27"/>
      <c r="M23" s="27"/>
    </row>
    <row r="24" spans="1:13" ht="17.25">
      <c r="A24" s="27"/>
      <c r="B24" s="32" t="s">
        <v>20</v>
      </c>
      <c r="C24" s="33">
        <f>C23*0.3048^3*6.289814</f>
        <v>1.4248615850417112</v>
      </c>
      <c r="D24" s="33">
        <f>D23*0.3048^3*6.289814</f>
        <v>99.562203254789566</v>
      </c>
      <c r="E24" s="33">
        <f>E23*0.3048^3*6.289814</f>
        <v>323.62168750259866</v>
      </c>
      <c r="F24" s="27"/>
      <c r="G24" s="27"/>
      <c r="H24" s="27"/>
      <c r="I24" s="27"/>
      <c r="J24" s="27"/>
      <c r="K24" s="27"/>
      <c r="L24" s="27"/>
      <c r="M24" s="27"/>
    </row>
    <row r="25" spans="1:13">
      <c r="A25" s="27"/>
      <c r="B25" s="31" t="s">
        <v>21</v>
      </c>
      <c r="C25" s="31">
        <v>2</v>
      </c>
      <c r="D25" s="31">
        <v>70</v>
      </c>
      <c r="E25" s="31">
        <v>527</v>
      </c>
      <c r="F25" s="27"/>
      <c r="G25" s="27"/>
      <c r="H25" s="27"/>
      <c r="I25" s="27"/>
      <c r="J25" s="27"/>
      <c r="K25" s="27"/>
      <c r="L25" s="27"/>
      <c r="M25" s="27"/>
    </row>
    <row r="26" spans="1:13" ht="17.25">
      <c r="A26" s="27"/>
      <c r="B26" s="32" t="s">
        <v>22</v>
      </c>
      <c r="C26" s="33">
        <f>C25*0.3048^3*6.289814</f>
        <v>0.35621539626042781</v>
      </c>
      <c r="D26" s="33">
        <f>D25*0.3048^3*6.289814</f>
        <v>12.467538869114973</v>
      </c>
      <c r="E26" s="33">
        <f>E25*0.3048^3*6.289814</f>
        <v>93.862756914622736</v>
      </c>
      <c r="F26" s="27"/>
      <c r="G26" s="27"/>
      <c r="H26" s="27"/>
      <c r="I26" s="27"/>
      <c r="J26" s="27"/>
      <c r="K26" s="27"/>
      <c r="L26" s="27"/>
      <c r="M26" s="27"/>
    </row>
    <row r="27" spans="1:13">
      <c r="A27" s="27"/>
      <c r="B27" s="32" t="s">
        <v>23</v>
      </c>
      <c r="C27" s="32">
        <v>0.56599999999999995</v>
      </c>
      <c r="D27" s="32">
        <v>0.879</v>
      </c>
      <c r="E27" s="32">
        <v>1.292</v>
      </c>
      <c r="F27" s="27"/>
      <c r="G27" s="27"/>
      <c r="H27" s="27"/>
      <c r="I27" s="27"/>
      <c r="J27" s="27"/>
      <c r="K27" s="27"/>
      <c r="L27" s="27"/>
      <c r="M27" s="27"/>
    </row>
    <row r="28" spans="1:13">
      <c r="A28" s="27"/>
      <c r="B28" s="32" t="s">
        <v>24</v>
      </c>
      <c r="C28" s="32">
        <v>0.56100000000000005</v>
      </c>
      <c r="D28" s="32">
        <v>0.83699999999999997</v>
      </c>
      <c r="E28" s="32">
        <v>1.2370000000000001</v>
      </c>
      <c r="F28" s="27"/>
      <c r="G28" s="27"/>
      <c r="H28" s="27"/>
      <c r="I28" s="27"/>
      <c r="J28" s="27"/>
      <c r="K28" s="27"/>
      <c r="L28" s="27"/>
      <c r="M28" s="27"/>
    </row>
    <row r="29" spans="1:13">
      <c r="A29" s="27"/>
      <c r="B29" s="32" t="s">
        <v>25</v>
      </c>
      <c r="C29" s="32">
        <v>0.58099999999999996</v>
      </c>
      <c r="D29" s="32">
        <v>1.256</v>
      </c>
      <c r="E29" s="32">
        <v>1.5980000000000001</v>
      </c>
      <c r="F29" s="27"/>
      <c r="G29" s="27"/>
      <c r="H29" s="27"/>
      <c r="I29" s="27"/>
      <c r="J29" s="27"/>
      <c r="K29" s="27"/>
      <c r="L29" s="27"/>
      <c r="M29" s="27"/>
    </row>
    <row r="30" spans="1:13">
      <c r="A30" s="27"/>
      <c r="B30" s="27"/>
      <c r="C30" s="27"/>
      <c r="D30" s="27"/>
      <c r="E30" s="27"/>
      <c r="F30" s="27"/>
      <c r="G30" s="27"/>
      <c r="H30" s="27"/>
      <c r="I30" s="27"/>
      <c r="J30" s="27"/>
      <c r="K30" s="27"/>
      <c r="L30" s="27"/>
      <c r="M30" s="27"/>
    </row>
    <row r="31" spans="1:13">
      <c r="A31" s="34" t="s">
        <v>26</v>
      </c>
      <c r="B31" s="27"/>
      <c r="C31" s="27"/>
      <c r="D31" s="27"/>
      <c r="E31" s="27"/>
      <c r="F31" s="27"/>
      <c r="G31" s="27"/>
      <c r="H31" s="27"/>
      <c r="I31" s="27"/>
      <c r="J31" s="27"/>
      <c r="K31" s="27"/>
      <c r="L31" s="27"/>
      <c r="M31" s="27"/>
    </row>
    <row r="32" spans="1:13" ht="85.5" customHeight="1">
      <c r="A32" s="44" t="s">
        <v>27</v>
      </c>
      <c r="B32" s="44"/>
      <c r="C32" s="44"/>
      <c r="D32" s="44"/>
      <c r="E32" s="44"/>
      <c r="F32" s="35"/>
      <c r="G32" s="35"/>
      <c r="H32" s="35"/>
      <c r="I32" s="35"/>
      <c r="J32" s="27"/>
      <c r="K32" s="27"/>
      <c r="L32" s="27"/>
      <c r="M32" s="27"/>
    </row>
    <row r="33" spans="1:13" ht="18.75">
      <c r="A33" s="36" t="s">
        <v>28</v>
      </c>
      <c r="B33" s="36"/>
      <c r="C33" s="36"/>
      <c r="D33" s="36"/>
      <c r="E33" s="36"/>
      <c r="F33" s="36"/>
      <c r="G33" s="36"/>
      <c r="H33" s="36"/>
      <c r="I33" s="36"/>
      <c r="J33" s="27"/>
      <c r="K33" s="27"/>
      <c r="L33" s="27"/>
      <c r="M33" s="27"/>
    </row>
    <row r="34" spans="1:13">
      <c r="A34" s="27" t="s">
        <v>29</v>
      </c>
      <c r="B34" s="27"/>
      <c r="C34" s="27"/>
      <c r="D34" s="27"/>
      <c r="E34" s="27"/>
      <c r="F34" s="27"/>
      <c r="G34" s="27"/>
      <c r="H34" s="27"/>
      <c r="I34" s="27"/>
      <c r="J34" s="27"/>
      <c r="K34" s="27"/>
      <c r="L34" s="27"/>
      <c r="M34" s="27"/>
    </row>
    <row r="35" spans="1:13">
      <c r="A35" s="27" t="s">
        <v>30</v>
      </c>
      <c r="B35" s="27"/>
      <c r="C35" s="27"/>
      <c r="D35" s="27"/>
      <c r="E35" s="27"/>
      <c r="F35" s="27"/>
      <c r="G35" s="27"/>
      <c r="H35" s="27"/>
      <c r="I35" s="27"/>
      <c r="J35" s="27"/>
      <c r="K35" s="27"/>
      <c r="L35" s="27"/>
      <c r="M35" s="27"/>
    </row>
    <row r="36" spans="1:13" ht="18.75">
      <c r="A36" s="27" t="s">
        <v>31</v>
      </c>
      <c r="B36" s="27" t="s">
        <v>32</v>
      </c>
      <c r="C36" s="27"/>
      <c r="D36" s="27"/>
      <c r="E36" s="27"/>
      <c r="F36" s="27"/>
      <c r="G36" s="27"/>
      <c r="H36" s="27"/>
      <c r="I36" s="27"/>
      <c r="J36" s="27"/>
      <c r="K36" s="27"/>
      <c r="L36" s="27"/>
      <c r="M36" s="27"/>
    </row>
    <row r="37" spans="1:13">
      <c r="A37" s="27" t="s">
        <v>33</v>
      </c>
      <c r="B37" s="27" t="s">
        <v>34</v>
      </c>
      <c r="C37" s="27"/>
      <c r="D37" s="27"/>
      <c r="E37" s="27"/>
      <c r="F37" s="27"/>
      <c r="G37" s="27"/>
      <c r="H37" s="27"/>
      <c r="I37" s="27"/>
      <c r="J37" s="27"/>
      <c r="K37" s="27"/>
      <c r="L37" s="27"/>
      <c r="M37" s="27"/>
    </row>
    <row r="38" spans="1:13">
      <c r="A38" s="27" t="s">
        <v>35</v>
      </c>
      <c r="B38" s="27" t="s">
        <v>36</v>
      </c>
      <c r="C38" s="27"/>
      <c r="D38" s="27"/>
      <c r="E38" s="27"/>
      <c r="F38" s="27"/>
      <c r="G38" s="27"/>
      <c r="H38" s="27"/>
      <c r="I38" s="27"/>
      <c r="J38" s="27"/>
      <c r="K38" s="27"/>
      <c r="L38" s="27"/>
      <c r="M38" s="27"/>
    </row>
    <row r="39" spans="1:13" ht="18.75">
      <c r="A39" s="27" t="s">
        <v>37</v>
      </c>
      <c r="B39" s="27" t="s">
        <v>38</v>
      </c>
      <c r="C39" s="27"/>
      <c r="D39" s="27"/>
      <c r="E39" s="27"/>
      <c r="F39" s="27"/>
      <c r="G39" s="27"/>
      <c r="H39" s="27"/>
      <c r="I39" s="27"/>
      <c r="J39" s="27"/>
      <c r="K39" s="27"/>
      <c r="L39" s="27"/>
      <c r="M39" s="27"/>
    </row>
    <row r="40" spans="1:13" ht="18.75">
      <c r="A40" s="37">
        <v>42.23</v>
      </c>
      <c r="B40" s="27" t="s">
        <v>39</v>
      </c>
      <c r="C40" s="27"/>
      <c r="D40" s="27"/>
      <c r="E40" s="27"/>
      <c r="F40" s="27"/>
      <c r="G40" s="27"/>
      <c r="H40" s="27"/>
      <c r="I40" s="27"/>
      <c r="J40" s="27"/>
      <c r="K40" s="27"/>
      <c r="L40" s="27"/>
      <c r="M40" s="27"/>
    </row>
    <row r="41" spans="1:13" ht="17.25">
      <c r="A41" s="27" t="s">
        <v>40</v>
      </c>
      <c r="B41" s="27" t="s">
        <v>41</v>
      </c>
      <c r="C41" s="27"/>
      <c r="D41" s="27"/>
      <c r="E41" s="27"/>
      <c r="F41" s="27"/>
      <c r="G41" s="27"/>
      <c r="H41" s="27"/>
      <c r="I41" s="27"/>
      <c r="J41" s="27"/>
      <c r="K41" s="27"/>
      <c r="L41" s="27"/>
      <c r="M41" s="27"/>
    </row>
    <row r="42" spans="1:13">
      <c r="A42" s="27"/>
      <c r="B42" s="27"/>
      <c r="C42" s="27"/>
      <c r="D42" s="27"/>
      <c r="E42" s="27"/>
      <c r="F42" s="27"/>
      <c r="G42" s="27"/>
      <c r="H42" s="27"/>
      <c r="I42" s="27"/>
      <c r="J42" s="27"/>
      <c r="K42" s="27"/>
      <c r="L42" s="27"/>
      <c r="M42" s="27"/>
    </row>
    <row r="43" spans="1:13" ht="18.75">
      <c r="A43" s="27" t="s">
        <v>42</v>
      </c>
      <c r="B43" s="27"/>
      <c r="C43" s="27"/>
      <c r="D43" s="27"/>
      <c r="E43" s="27"/>
      <c r="F43" s="27"/>
      <c r="G43" s="27"/>
      <c r="H43" s="27"/>
      <c r="I43" s="27"/>
      <c r="J43" s="27"/>
      <c r="K43" s="27"/>
      <c r="L43" s="27"/>
      <c r="M43" s="27"/>
    </row>
    <row r="44" spans="1:13">
      <c r="A44" s="27"/>
      <c r="B44" s="27"/>
      <c r="C44" s="27"/>
      <c r="D44" s="27"/>
      <c r="E44" s="27"/>
      <c r="F44" s="27"/>
      <c r="G44" s="27"/>
      <c r="H44" s="27"/>
      <c r="I44" s="27"/>
      <c r="J44" s="27"/>
      <c r="K44" s="27"/>
      <c r="L44" s="27"/>
      <c r="M44" s="27"/>
    </row>
  </sheetData>
  <sheetProtection algorithmName="SHA-512" hashValue="bDCnCTzzBS55oHyM8ZqQJsjqZWCwweSimPmdlbc/cIUpboTgn4Ovjx701xjtDV1MjmPaLsL4waYoNuuJiyYowg==" saltValue="I49NG0sF9AgmryZ5ayxruA==" spinCount="100000" sheet="1" objects="1" scenarios="1"/>
  <mergeCells count="2">
    <mergeCell ref="A32:E32"/>
    <mergeCell ref="A4:I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
  <sheetViews>
    <sheetView workbookViewId="0"/>
  </sheetViews>
  <sheetFormatPr defaultColWidth="11.42578125" defaultRowHeight="15"/>
  <cols>
    <col min="1" max="1" width="18.85546875" customWidth="1"/>
    <col min="3" max="3" width="13.42578125" customWidth="1"/>
    <col min="5" max="5" width="12.5703125" customWidth="1"/>
    <col min="6" max="6" width="13.5703125" customWidth="1"/>
    <col min="15" max="15" width="20.140625" customWidth="1"/>
    <col min="18" max="18" width="12.28515625" customWidth="1"/>
    <col min="19" max="19" width="12.42578125" customWidth="1"/>
    <col min="20" max="21" width="9.85546875" customWidth="1"/>
    <col min="22" max="22" width="14.42578125" style="41" customWidth="1"/>
    <col min="23" max="23" width="16.85546875" customWidth="1"/>
  </cols>
  <sheetData>
    <row r="1" spans="1:23">
      <c r="A1" s="11" t="s">
        <v>43</v>
      </c>
      <c r="B1" s="1"/>
      <c r="C1" s="1"/>
      <c r="D1" s="1"/>
      <c r="E1" s="1"/>
      <c r="F1" s="1"/>
      <c r="G1" s="1"/>
      <c r="H1" s="1"/>
      <c r="I1" s="1"/>
      <c r="J1" s="1"/>
      <c r="K1" s="1"/>
      <c r="L1" s="1"/>
      <c r="M1" s="1"/>
      <c r="N1" s="1"/>
      <c r="O1" s="1"/>
      <c r="P1" s="1"/>
      <c r="Q1" s="1"/>
      <c r="R1" s="1"/>
      <c r="S1" s="1"/>
    </row>
    <row r="2" spans="1:23" ht="15.75">
      <c r="A2" s="12" t="s">
        <v>44</v>
      </c>
      <c r="B2" s="1"/>
      <c r="C2" s="1"/>
      <c r="D2" s="2" t="s">
        <v>45</v>
      </c>
      <c r="E2" s="2"/>
      <c r="F2" s="2"/>
      <c r="G2" s="2"/>
      <c r="H2" s="2"/>
      <c r="I2" s="2"/>
      <c r="J2" s="2"/>
      <c r="K2" s="2"/>
      <c r="L2" s="2"/>
      <c r="M2" s="2"/>
      <c r="N2" s="1"/>
      <c r="O2" s="1"/>
      <c r="P2" s="1"/>
      <c r="Q2" s="1"/>
      <c r="R2" s="1"/>
      <c r="S2" s="1"/>
    </row>
    <row r="3" spans="1:23" ht="15.75">
      <c r="A3" s="13" t="s">
        <v>46</v>
      </c>
      <c r="B3" s="1"/>
      <c r="C3" s="1"/>
      <c r="D3" s="2"/>
      <c r="E3" s="2"/>
      <c r="F3" s="2"/>
      <c r="G3" s="2"/>
      <c r="H3" s="2"/>
      <c r="I3" s="2"/>
      <c r="J3" s="2"/>
      <c r="K3" s="2"/>
      <c r="L3" s="2"/>
      <c r="M3" s="2"/>
      <c r="N3" s="1"/>
      <c r="O3" s="1"/>
      <c r="P3" s="1"/>
      <c r="Q3" s="1"/>
      <c r="R3" s="1"/>
      <c r="S3" s="1"/>
    </row>
    <row r="4" spans="1:23">
      <c r="A4" s="1"/>
      <c r="B4" s="1"/>
      <c r="C4" s="1"/>
      <c r="D4" s="1"/>
      <c r="E4" s="1"/>
      <c r="F4" s="1"/>
      <c r="G4" s="1"/>
      <c r="H4" s="1"/>
      <c r="I4" s="1"/>
      <c r="J4" s="1"/>
      <c r="K4" s="1"/>
      <c r="L4" s="1"/>
      <c r="M4" s="1"/>
      <c r="N4" s="1"/>
      <c r="O4" s="1"/>
      <c r="P4" s="1"/>
      <c r="Q4" s="1"/>
      <c r="R4" s="1"/>
      <c r="S4" s="1"/>
    </row>
    <row r="5" spans="1:23" ht="47.25">
      <c r="A5" s="51" t="s">
        <v>47</v>
      </c>
      <c r="B5" s="53" t="s">
        <v>48</v>
      </c>
      <c r="C5" s="54"/>
      <c r="D5" s="54"/>
      <c r="E5" s="55"/>
      <c r="F5" s="56" t="s">
        <v>49</v>
      </c>
      <c r="G5" s="57"/>
      <c r="H5" s="58" t="s">
        <v>50</v>
      </c>
      <c r="I5" s="59"/>
      <c r="J5" s="59"/>
      <c r="K5" s="59"/>
      <c r="L5" s="59"/>
      <c r="M5" s="59"/>
      <c r="N5" s="60"/>
      <c r="O5" s="61" t="s">
        <v>51</v>
      </c>
      <c r="P5" s="62"/>
      <c r="Q5" s="23" t="s">
        <v>52</v>
      </c>
      <c r="R5" s="49" t="s">
        <v>53</v>
      </c>
      <c r="S5" s="50"/>
      <c r="T5" s="47" t="s">
        <v>54</v>
      </c>
      <c r="U5" s="48"/>
      <c r="V5" s="42" t="s">
        <v>55</v>
      </c>
      <c r="W5" s="25" t="s">
        <v>56</v>
      </c>
    </row>
    <row r="6" spans="1:23" ht="62.25">
      <c r="A6" s="52"/>
      <c r="B6" s="19" t="s">
        <v>57</v>
      </c>
      <c r="C6" s="19" t="s">
        <v>58</v>
      </c>
      <c r="D6" s="19" t="s">
        <v>59</v>
      </c>
      <c r="E6" s="19" t="s">
        <v>60</v>
      </c>
      <c r="F6" s="19" t="s">
        <v>61</v>
      </c>
      <c r="G6" s="19" t="s">
        <v>62</v>
      </c>
      <c r="H6" s="20" t="s">
        <v>63</v>
      </c>
      <c r="I6" s="20" t="s">
        <v>64</v>
      </c>
      <c r="J6" s="20" t="s">
        <v>65</v>
      </c>
      <c r="K6" s="20" t="s">
        <v>66</v>
      </c>
      <c r="L6" s="20" t="s">
        <v>67</v>
      </c>
      <c r="M6" s="20" t="s">
        <v>68</v>
      </c>
      <c r="N6" s="21" t="s">
        <v>69</v>
      </c>
      <c r="O6" s="22" t="s">
        <v>70</v>
      </c>
      <c r="P6" s="23" t="s">
        <v>71</v>
      </c>
      <c r="Q6" s="24" t="s">
        <v>72</v>
      </c>
      <c r="R6" s="18" t="s">
        <v>73</v>
      </c>
      <c r="S6" s="18" t="s">
        <v>74</v>
      </c>
      <c r="T6" s="18" t="s">
        <v>75</v>
      </c>
      <c r="U6" s="18" t="s">
        <v>76</v>
      </c>
      <c r="V6" s="42" t="s">
        <v>77</v>
      </c>
      <c r="W6" s="18" t="s">
        <v>78</v>
      </c>
    </row>
    <row r="7" spans="1:23">
      <c r="A7" s="3"/>
      <c r="B7" s="3">
        <v>100</v>
      </c>
      <c r="C7" s="4">
        <v>20</v>
      </c>
      <c r="D7" s="5">
        <f>B7/6.895</f>
        <v>14.503263234227703</v>
      </c>
      <c r="E7" s="5">
        <f>32+C7*1.8</f>
        <v>68</v>
      </c>
      <c r="F7" s="43">
        <v>5</v>
      </c>
      <c r="G7" s="6">
        <v>60</v>
      </c>
      <c r="H7" s="7">
        <f>LN(D7+14.696)</f>
        <v>3.3741434772513803</v>
      </c>
      <c r="I7" s="7">
        <f>LN(E7)</f>
        <v>4.219507705176107</v>
      </c>
      <c r="J7" s="7">
        <f>G7</f>
        <v>60</v>
      </c>
      <c r="K7" s="7">
        <f>-8.005+2.7*H7-0.161*H7^2</f>
        <v>-0.72777252843883655</v>
      </c>
      <c r="L7" s="7">
        <f>1.224-0.5*I7-0*I7^2</f>
        <v>-0.8857538525880535</v>
      </c>
      <c r="M7" s="7">
        <f>-1.587+0.0441*J7-0.0000229*J7^2</f>
        <v>0.97655999999999998</v>
      </c>
      <c r="N7" s="8">
        <f>SUM(K7:M7)</f>
        <v>-0.63696638102689007</v>
      </c>
      <c r="O7" s="9">
        <f>P7*0.3048^3*6.289814</f>
        <v>5.3219036318347221</v>
      </c>
      <c r="P7" s="10">
        <f>EXP(3.955+0.83*N7-0.024*N7*N7+0.075*N7*N7*N7)</f>
        <v>29.880256090581202</v>
      </c>
      <c r="Q7" s="14">
        <f>F7*O7</f>
        <v>26.609518159173611</v>
      </c>
      <c r="R7" s="15">
        <v>41</v>
      </c>
      <c r="S7" s="15">
        <v>0.75</v>
      </c>
      <c r="T7" s="16">
        <v>101325</v>
      </c>
      <c r="U7" s="16">
        <v>288.60000000000002</v>
      </c>
      <c r="V7" s="15">
        <v>365</v>
      </c>
      <c r="W7" s="17">
        <f xml:space="preserve"> S7*Q7* R7* (T7/(8.314*U7))*V7 *0.000001</f>
        <v>12.612037707797763</v>
      </c>
    </row>
    <row r="8" spans="1:23">
      <c r="A8" s="3"/>
      <c r="B8" s="3">
        <v>300</v>
      </c>
      <c r="C8" s="4">
        <v>20</v>
      </c>
      <c r="D8" s="5">
        <f t="shared" ref="D8:D20" si="0">B8/6.895</f>
        <v>43.509789702683108</v>
      </c>
      <c r="E8" s="5">
        <f t="shared" ref="E8:E20" si="1">32+C8*1.8</f>
        <v>68</v>
      </c>
      <c r="F8" s="43">
        <v>5</v>
      </c>
      <c r="G8" s="6">
        <v>65</v>
      </c>
      <c r="H8" s="7">
        <f t="shared" ref="H8:H20" si="2">LN(D8+14.696)</f>
        <v>4.063984829217187</v>
      </c>
      <c r="I8" s="7">
        <f t="shared" ref="I8:I20" si="3">LN(E8)</f>
        <v>4.219507705176107</v>
      </c>
      <c r="J8" s="7">
        <f t="shared" ref="J8:J20" si="4">G8</f>
        <v>65</v>
      </c>
      <c r="K8" s="7">
        <f t="shared" ref="K8:K20" si="5">-8.005+2.7*H8-0.161*H8^2</f>
        <v>0.30868743545710542</v>
      </c>
      <c r="L8" s="7">
        <f t="shared" ref="L8:L20" si="6">1.224-0.5*I8-0*I8^2</f>
        <v>-0.8857538525880535</v>
      </c>
      <c r="M8" s="7">
        <f t="shared" ref="M8:M20" si="7">-1.587+0.0441*J8-0.0000229*J8^2</f>
        <v>1.1827474999999998</v>
      </c>
      <c r="N8" s="8">
        <f t="shared" ref="N8:N20" si="8">SUM(K8:M8)</f>
        <v>0.60568108286905176</v>
      </c>
      <c r="O8" s="9">
        <f t="shared" ref="O8:O20" si="9">P8*0.3048^3*6.289814</f>
        <v>15.490215732914816</v>
      </c>
      <c r="P8" s="10">
        <f t="shared" ref="P8:P20" si="10">EXP(3.955+0.83*N8-0.024*N8*N8+0.075*N8*N8*N8)</f>
        <v>86.971062427576683</v>
      </c>
      <c r="Q8" s="14">
        <f t="shared" ref="Q8:Q20" si="11">F8*O8</f>
        <v>77.451078664574084</v>
      </c>
      <c r="R8" s="15">
        <v>41</v>
      </c>
      <c r="S8" s="15">
        <v>0.75</v>
      </c>
      <c r="T8" s="16">
        <v>101325</v>
      </c>
      <c r="U8" s="16">
        <v>288.60000000000002</v>
      </c>
      <c r="V8" s="15">
        <v>365</v>
      </c>
      <c r="W8" s="17">
        <f t="shared" ref="W8:W20" si="12" xml:space="preserve"> S8*Q8* R8* (T8/(8.314*U8))*V8 *0.000001</f>
        <v>36.709267668210757</v>
      </c>
    </row>
    <row r="9" spans="1:23">
      <c r="A9" s="3"/>
      <c r="B9" s="3">
        <v>500</v>
      </c>
      <c r="C9" s="4">
        <v>20</v>
      </c>
      <c r="D9" s="5">
        <f t="shared" si="0"/>
        <v>72.516316171138513</v>
      </c>
      <c r="E9" s="5">
        <f t="shared" si="1"/>
        <v>68</v>
      </c>
      <c r="F9" s="43">
        <v>5</v>
      </c>
      <c r="G9" s="6">
        <v>57</v>
      </c>
      <c r="H9" s="7">
        <f t="shared" si="2"/>
        <v>4.4683455614361423</v>
      </c>
      <c r="I9" s="7">
        <f t="shared" si="3"/>
        <v>4.219507705176107</v>
      </c>
      <c r="J9" s="7">
        <f t="shared" si="4"/>
        <v>57</v>
      </c>
      <c r="K9" s="7">
        <f t="shared" si="5"/>
        <v>0.84498897479620627</v>
      </c>
      <c r="L9" s="7">
        <f t="shared" si="6"/>
        <v>-0.8857538525880535</v>
      </c>
      <c r="M9" s="7">
        <f t="shared" si="7"/>
        <v>0.85229790000000005</v>
      </c>
      <c r="N9" s="8">
        <f t="shared" si="8"/>
        <v>0.81153302220815282</v>
      </c>
      <c r="O9" s="9">
        <f t="shared" si="9"/>
        <v>18.680576501736066</v>
      </c>
      <c r="P9" s="10">
        <f t="shared" si="10"/>
        <v>104.88359963014491</v>
      </c>
      <c r="Q9" s="14">
        <f t="shared" si="11"/>
        <v>93.402882508680335</v>
      </c>
      <c r="R9" s="15">
        <v>41</v>
      </c>
      <c r="S9" s="15">
        <v>0.75</v>
      </c>
      <c r="T9" s="16">
        <v>101325</v>
      </c>
      <c r="U9" s="16">
        <v>288.60000000000002</v>
      </c>
      <c r="V9" s="15">
        <v>365</v>
      </c>
      <c r="W9" s="17">
        <f t="shared" si="12"/>
        <v>44.269898807256872</v>
      </c>
    </row>
    <row r="10" spans="1:23">
      <c r="A10" s="3"/>
      <c r="B10" s="3">
        <v>1000</v>
      </c>
      <c r="C10" s="4">
        <v>20</v>
      </c>
      <c r="D10" s="5">
        <f t="shared" si="0"/>
        <v>145.03263234227703</v>
      </c>
      <c r="E10" s="5">
        <f t="shared" si="1"/>
        <v>68</v>
      </c>
      <c r="F10" s="43">
        <v>5</v>
      </c>
      <c r="G10" s="6">
        <v>60</v>
      </c>
      <c r="H10" s="7">
        <f t="shared" si="2"/>
        <v>5.0734763274555421</v>
      </c>
      <c r="I10" s="7">
        <f t="shared" si="3"/>
        <v>4.219507705176107</v>
      </c>
      <c r="J10" s="7">
        <f t="shared" si="4"/>
        <v>60</v>
      </c>
      <c r="K10" s="7">
        <f t="shared" si="5"/>
        <v>1.5492199948444281</v>
      </c>
      <c r="L10" s="7">
        <f t="shared" si="6"/>
        <v>-0.8857538525880535</v>
      </c>
      <c r="M10" s="7">
        <f t="shared" si="7"/>
        <v>0.97655999999999998</v>
      </c>
      <c r="N10" s="8">
        <f t="shared" si="8"/>
        <v>1.6400261422563744</v>
      </c>
      <c r="O10" s="9">
        <f t="shared" si="9"/>
        <v>47.329746820146049</v>
      </c>
      <c r="P10" s="10">
        <f t="shared" si="10"/>
        <v>265.73667122205711</v>
      </c>
      <c r="Q10" s="14">
        <f t="shared" si="11"/>
        <v>236.64873410073025</v>
      </c>
      <c r="R10" s="15">
        <v>41</v>
      </c>
      <c r="S10" s="15">
        <v>0.75</v>
      </c>
      <c r="T10" s="16">
        <v>101325</v>
      </c>
      <c r="U10" s="16">
        <v>288.60000000000002</v>
      </c>
      <c r="V10" s="15">
        <v>365</v>
      </c>
      <c r="W10" s="17">
        <f t="shared" si="12"/>
        <v>112.1637280362429</v>
      </c>
    </row>
    <row r="11" spans="1:23">
      <c r="A11" s="3"/>
      <c r="B11" s="3">
        <v>1000</v>
      </c>
      <c r="C11" s="4">
        <v>20</v>
      </c>
      <c r="D11" s="5">
        <f t="shared" si="0"/>
        <v>145.03263234227703</v>
      </c>
      <c r="E11" s="5">
        <f t="shared" si="1"/>
        <v>68</v>
      </c>
      <c r="F11" s="43">
        <v>5</v>
      </c>
      <c r="G11" s="6">
        <v>65</v>
      </c>
      <c r="H11" s="7">
        <f t="shared" si="2"/>
        <v>5.0734763274555421</v>
      </c>
      <c r="I11" s="7">
        <f t="shared" si="3"/>
        <v>4.219507705176107</v>
      </c>
      <c r="J11" s="7">
        <f t="shared" si="4"/>
        <v>65</v>
      </c>
      <c r="K11" s="7">
        <f t="shared" si="5"/>
        <v>1.5492199948444281</v>
      </c>
      <c r="L11" s="7">
        <f t="shared" si="6"/>
        <v>-0.8857538525880535</v>
      </c>
      <c r="M11" s="7">
        <f t="shared" si="7"/>
        <v>1.1827474999999998</v>
      </c>
      <c r="N11" s="8">
        <f t="shared" si="8"/>
        <v>1.8462136422563744</v>
      </c>
      <c r="O11" s="9">
        <f t="shared" si="9"/>
        <v>63.570431452577516</v>
      </c>
      <c r="P11" s="10">
        <f t="shared" si="10"/>
        <v>356.92130166154521</v>
      </c>
      <c r="Q11" s="14">
        <f t="shared" si="11"/>
        <v>317.8521572628876</v>
      </c>
      <c r="R11" s="15">
        <v>41</v>
      </c>
      <c r="S11" s="15">
        <v>0.75</v>
      </c>
      <c r="T11" s="16">
        <v>101325</v>
      </c>
      <c r="U11" s="16">
        <v>288.60000000000002</v>
      </c>
      <c r="V11" s="15">
        <v>365</v>
      </c>
      <c r="W11" s="17">
        <f t="shared" si="12"/>
        <v>150.65148376324069</v>
      </c>
    </row>
    <row r="12" spans="1:23">
      <c r="A12" s="3"/>
      <c r="B12" s="3">
        <v>1000</v>
      </c>
      <c r="C12" s="4">
        <v>20</v>
      </c>
      <c r="D12" s="5">
        <f t="shared" si="0"/>
        <v>145.03263234227703</v>
      </c>
      <c r="E12" s="5">
        <f t="shared" si="1"/>
        <v>68</v>
      </c>
      <c r="F12" s="43">
        <v>5</v>
      </c>
      <c r="G12" s="6">
        <v>57</v>
      </c>
      <c r="H12" s="7">
        <f t="shared" si="2"/>
        <v>5.0734763274555421</v>
      </c>
      <c r="I12" s="7">
        <f t="shared" si="3"/>
        <v>4.219507705176107</v>
      </c>
      <c r="J12" s="7">
        <f t="shared" si="4"/>
        <v>57</v>
      </c>
      <c r="K12" s="7">
        <f t="shared" si="5"/>
        <v>1.5492199948444281</v>
      </c>
      <c r="L12" s="7">
        <f t="shared" si="6"/>
        <v>-0.8857538525880535</v>
      </c>
      <c r="M12" s="7">
        <f t="shared" si="7"/>
        <v>0.85229790000000005</v>
      </c>
      <c r="N12" s="8">
        <f t="shared" si="8"/>
        <v>1.5157640422563747</v>
      </c>
      <c r="O12" s="9">
        <f t="shared" si="9"/>
        <v>40.195941168756285</v>
      </c>
      <c r="P12" s="10">
        <f t="shared" si="10"/>
        <v>225.68334547431621</v>
      </c>
      <c r="Q12" s="14">
        <f t="shared" si="11"/>
        <v>200.97970584378143</v>
      </c>
      <c r="R12" s="15">
        <v>41</v>
      </c>
      <c r="S12" s="15">
        <v>0.75</v>
      </c>
      <c r="T12" s="16">
        <v>101325</v>
      </c>
      <c r="U12" s="16">
        <v>288.60000000000002</v>
      </c>
      <c r="V12" s="15">
        <v>365</v>
      </c>
      <c r="W12" s="17">
        <f t="shared" si="12"/>
        <v>95.257780071076382</v>
      </c>
    </row>
    <row r="13" spans="1:23">
      <c r="A13" s="3"/>
      <c r="B13" s="3">
        <v>1000</v>
      </c>
      <c r="C13" s="4">
        <v>20</v>
      </c>
      <c r="D13" s="5">
        <f t="shared" si="0"/>
        <v>145.03263234227703</v>
      </c>
      <c r="E13" s="5">
        <f t="shared" si="1"/>
        <v>68</v>
      </c>
      <c r="F13" s="43">
        <v>5</v>
      </c>
      <c r="G13" s="6">
        <v>60</v>
      </c>
      <c r="H13" s="7">
        <f t="shared" si="2"/>
        <v>5.0734763274555421</v>
      </c>
      <c r="I13" s="7">
        <f t="shared" si="3"/>
        <v>4.219507705176107</v>
      </c>
      <c r="J13" s="7">
        <f t="shared" si="4"/>
        <v>60</v>
      </c>
      <c r="K13" s="7">
        <f t="shared" si="5"/>
        <v>1.5492199948444281</v>
      </c>
      <c r="L13" s="7">
        <f t="shared" si="6"/>
        <v>-0.8857538525880535</v>
      </c>
      <c r="M13" s="7">
        <f t="shared" si="7"/>
        <v>0.97655999999999998</v>
      </c>
      <c r="N13" s="8">
        <f t="shared" si="8"/>
        <v>1.6400261422563744</v>
      </c>
      <c r="O13" s="9">
        <f t="shared" si="9"/>
        <v>47.329746820146049</v>
      </c>
      <c r="P13" s="10">
        <f t="shared" si="10"/>
        <v>265.73667122205711</v>
      </c>
      <c r="Q13" s="14">
        <f t="shared" si="11"/>
        <v>236.64873410073025</v>
      </c>
      <c r="R13" s="15">
        <v>41</v>
      </c>
      <c r="S13" s="15">
        <v>0.75</v>
      </c>
      <c r="T13" s="16">
        <v>101325</v>
      </c>
      <c r="U13" s="16">
        <v>288.60000000000002</v>
      </c>
      <c r="V13" s="15">
        <v>365</v>
      </c>
      <c r="W13" s="17">
        <f t="shared" si="12"/>
        <v>112.1637280362429</v>
      </c>
    </row>
    <row r="14" spans="1:23">
      <c r="A14" s="3"/>
      <c r="B14" s="3">
        <v>1000</v>
      </c>
      <c r="C14" s="4">
        <v>20</v>
      </c>
      <c r="D14" s="5">
        <f t="shared" si="0"/>
        <v>145.03263234227703</v>
      </c>
      <c r="E14" s="5">
        <f t="shared" si="1"/>
        <v>68</v>
      </c>
      <c r="F14" s="43">
        <v>5</v>
      </c>
      <c r="G14" s="6">
        <v>65</v>
      </c>
      <c r="H14" s="7">
        <f t="shared" si="2"/>
        <v>5.0734763274555421</v>
      </c>
      <c r="I14" s="7">
        <f t="shared" si="3"/>
        <v>4.219507705176107</v>
      </c>
      <c r="J14" s="7">
        <f t="shared" si="4"/>
        <v>65</v>
      </c>
      <c r="K14" s="7">
        <f t="shared" si="5"/>
        <v>1.5492199948444281</v>
      </c>
      <c r="L14" s="7">
        <f t="shared" si="6"/>
        <v>-0.8857538525880535</v>
      </c>
      <c r="M14" s="7">
        <f t="shared" si="7"/>
        <v>1.1827474999999998</v>
      </c>
      <c r="N14" s="8">
        <f t="shared" si="8"/>
        <v>1.8462136422563744</v>
      </c>
      <c r="O14" s="9">
        <f t="shared" si="9"/>
        <v>63.570431452577516</v>
      </c>
      <c r="P14" s="10">
        <f t="shared" si="10"/>
        <v>356.92130166154521</v>
      </c>
      <c r="Q14" s="14">
        <f t="shared" si="11"/>
        <v>317.8521572628876</v>
      </c>
      <c r="R14" s="15">
        <v>41</v>
      </c>
      <c r="S14" s="15">
        <v>0.75</v>
      </c>
      <c r="T14" s="16">
        <v>101325</v>
      </c>
      <c r="U14" s="16">
        <v>288.60000000000002</v>
      </c>
      <c r="V14" s="15">
        <v>365</v>
      </c>
      <c r="W14" s="17">
        <f t="shared" si="12"/>
        <v>150.65148376324069</v>
      </c>
    </row>
    <row r="15" spans="1:23">
      <c r="A15" s="3"/>
      <c r="B15" s="3">
        <v>1000</v>
      </c>
      <c r="C15" s="4">
        <v>20</v>
      </c>
      <c r="D15" s="5">
        <f t="shared" si="0"/>
        <v>145.03263234227703</v>
      </c>
      <c r="E15" s="5">
        <f t="shared" si="1"/>
        <v>68</v>
      </c>
      <c r="F15" s="43">
        <v>5</v>
      </c>
      <c r="G15" s="6">
        <v>57</v>
      </c>
      <c r="H15" s="7">
        <f t="shared" si="2"/>
        <v>5.0734763274555421</v>
      </c>
      <c r="I15" s="7">
        <f t="shared" si="3"/>
        <v>4.219507705176107</v>
      </c>
      <c r="J15" s="7">
        <f t="shared" si="4"/>
        <v>57</v>
      </c>
      <c r="K15" s="7">
        <f t="shared" si="5"/>
        <v>1.5492199948444281</v>
      </c>
      <c r="L15" s="7">
        <f t="shared" si="6"/>
        <v>-0.8857538525880535</v>
      </c>
      <c r="M15" s="7">
        <f t="shared" si="7"/>
        <v>0.85229790000000005</v>
      </c>
      <c r="N15" s="8">
        <f t="shared" si="8"/>
        <v>1.5157640422563747</v>
      </c>
      <c r="O15" s="9">
        <f t="shared" si="9"/>
        <v>40.195941168756285</v>
      </c>
      <c r="P15" s="10">
        <f t="shared" si="10"/>
        <v>225.68334547431621</v>
      </c>
      <c r="Q15" s="14">
        <f t="shared" si="11"/>
        <v>200.97970584378143</v>
      </c>
      <c r="R15" s="15">
        <v>41</v>
      </c>
      <c r="S15" s="15">
        <v>0.75</v>
      </c>
      <c r="T15" s="16">
        <v>101325</v>
      </c>
      <c r="U15" s="16">
        <v>288.60000000000002</v>
      </c>
      <c r="V15" s="15">
        <v>365</v>
      </c>
      <c r="W15" s="17">
        <f t="shared" si="12"/>
        <v>95.257780071076382</v>
      </c>
    </row>
    <row r="16" spans="1:23">
      <c r="A16" s="3"/>
      <c r="B16" s="3">
        <v>1000</v>
      </c>
      <c r="C16" s="4">
        <v>20</v>
      </c>
      <c r="D16" s="5">
        <f t="shared" si="0"/>
        <v>145.03263234227703</v>
      </c>
      <c r="E16" s="5">
        <f t="shared" si="1"/>
        <v>68</v>
      </c>
      <c r="F16" s="43">
        <v>5</v>
      </c>
      <c r="G16" s="6">
        <v>60</v>
      </c>
      <c r="H16" s="7">
        <f t="shared" si="2"/>
        <v>5.0734763274555421</v>
      </c>
      <c r="I16" s="7">
        <f t="shared" si="3"/>
        <v>4.219507705176107</v>
      </c>
      <c r="J16" s="7">
        <f t="shared" si="4"/>
        <v>60</v>
      </c>
      <c r="K16" s="7">
        <f t="shared" si="5"/>
        <v>1.5492199948444281</v>
      </c>
      <c r="L16" s="7">
        <f t="shared" si="6"/>
        <v>-0.8857538525880535</v>
      </c>
      <c r="M16" s="7">
        <f t="shared" si="7"/>
        <v>0.97655999999999998</v>
      </c>
      <c r="N16" s="8">
        <f t="shared" si="8"/>
        <v>1.6400261422563744</v>
      </c>
      <c r="O16" s="9">
        <f t="shared" si="9"/>
        <v>47.329746820146049</v>
      </c>
      <c r="P16" s="10">
        <f t="shared" si="10"/>
        <v>265.73667122205711</v>
      </c>
      <c r="Q16" s="14">
        <f t="shared" si="11"/>
        <v>236.64873410073025</v>
      </c>
      <c r="R16" s="15">
        <v>41</v>
      </c>
      <c r="S16" s="15">
        <v>0.75</v>
      </c>
      <c r="T16" s="16">
        <v>101325</v>
      </c>
      <c r="U16" s="16">
        <v>288.60000000000002</v>
      </c>
      <c r="V16" s="15">
        <v>365</v>
      </c>
      <c r="W16" s="17">
        <f t="shared" si="12"/>
        <v>112.1637280362429</v>
      </c>
    </row>
    <row r="17" spans="1:23">
      <c r="A17" s="3"/>
      <c r="B17" s="3">
        <v>1000</v>
      </c>
      <c r="C17" s="4">
        <v>20</v>
      </c>
      <c r="D17" s="5">
        <f t="shared" si="0"/>
        <v>145.03263234227703</v>
      </c>
      <c r="E17" s="5">
        <f t="shared" si="1"/>
        <v>68</v>
      </c>
      <c r="F17" s="43">
        <v>5</v>
      </c>
      <c r="G17" s="6">
        <v>65</v>
      </c>
      <c r="H17" s="7">
        <f t="shared" si="2"/>
        <v>5.0734763274555421</v>
      </c>
      <c r="I17" s="7">
        <f t="shared" si="3"/>
        <v>4.219507705176107</v>
      </c>
      <c r="J17" s="7">
        <f t="shared" si="4"/>
        <v>65</v>
      </c>
      <c r="K17" s="7">
        <f t="shared" si="5"/>
        <v>1.5492199948444281</v>
      </c>
      <c r="L17" s="7">
        <f t="shared" si="6"/>
        <v>-0.8857538525880535</v>
      </c>
      <c r="M17" s="7">
        <f t="shared" si="7"/>
        <v>1.1827474999999998</v>
      </c>
      <c r="N17" s="8">
        <f t="shared" si="8"/>
        <v>1.8462136422563744</v>
      </c>
      <c r="O17" s="9">
        <f t="shared" si="9"/>
        <v>63.570431452577516</v>
      </c>
      <c r="P17" s="10">
        <f t="shared" si="10"/>
        <v>356.92130166154521</v>
      </c>
      <c r="Q17" s="14">
        <f t="shared" si="11"/>
        <v>317.8521572628876</v>
      </c>
      <c r="R17" s="15">
        <v>41</v>
      </c>
      <c r="S17" s="15">
        <v>0.75</v>
      </c>
      <c r="T17" s="16">
        <v>101325</v>
      </c>
      <c r="U17" s="16">
        <v>288.60000000000002</v>
      </c>
      <c r="V17" s="15">
        <v>365</v>
      </c>
      <c r="W17" s="17">
        <f t="shared" si="12"/>
        <v>150.65148376324069</v>
      </c>
    </row>
    <row r="18" spans="1:23">
      <c r="A18" s="3"/>
      <c r="B18" s="3">
        <v>1000</v>
      </c>
      <c r="C18" s="4">
        <v>20</v>
      </c>
      <c r="D18" s="5">
        <f t="shared" si="0"/>
        <v>145.03263234227703</v>
      </c>
      <c r="E18" s="5">
        <f t="shared" si="1"/>
        <v>68</v>
      </c>
      <c r="F18" s="43">
        <v>5</v>
      </c>
      <c r="G18" s="6">
        <v>57</v>
      </c>
      <c r="H18" s="7">
        <f t="shared" si="2"/>
        <v>5.0734763274555421</v>
      </c>
      <c r="I18" s="7">
        <f t="shared" si="3"/>
        <v>4.219507705176107</v>
      </c>
      <c r="J18" s="7">
        <f t="shared" si="4"/>
        <v>57</v>
      </c>
      <c r="K18" s="7">
        <f t="shared" si="5"/>
        <v>1.5492199948444281</v>
      </c>
      <c r="L18" s="7">
        <f t="shared" si="6"/>
        <v>-0.8857538525880535</v>
      </c>
      <c r="M18" s="7">
        <f t="shared" si="7"/>
        <v>0.85229790000000005</v>
      </c>
      <c r="N18" s="8">
        <f t="shared" si="8"/>
        <v>1.5157640422563747</v>
      </c>
      <c r="O18" s="9">
        <f t="shared" si="9"/>
        <v>40.195941168756285</v>
      </c>
      <c r="P18" s="10">
        <f t="shared" si="10"/>
        <v>225.68334547431621</v>
      </c>
      <c r="Q18" s="14">
        <f t="shared" si="11"/>
        <v>200.97970584378143</v>
      </c>
      <c r="R18" s="15">
        <v>41</v>
      </c>
      <c r="S18" s="15">
        <v>0.75</v>
      </c>
      <c r="T18" s="16">
        <v>101325</v>
      </c>
      <c r="U18" s="16">
        <v>288.60000000000002</v>
      </c>
      <c r="V18" s="15">
        <v>365</v>
      </c>
      <c r="W18" s="17">
        <f t="shared" si="12"/>
        <v>95.257780071076382</v>
      </c>
    </row>
    <row r="19" spans="1:23">
      <c r="A19" s="3"/>
      <c r="B19" s="3">
        <v>1000</v>
      </c>
      <c r="C19" s="4">
        <v>20</v>
      </c>
      <c r="D19" s="5">
        <f t="shared" si="0"/>
        <v>145.03263234227703</v>
      </c>
      <c r="E19" s="5">
        <f t="shared" si="1"/>
        <v>68</v>
      </c>
      <c r="F19" s="43">
        <v>5</v>
      </c>
      <c r="G19" s="6">
        <v>60</v>
      </c>
      <c r="H19" s="7">
        <f t="shared" si="2"/>
        <v>5.0734763274555421</v>
      </c>
      <c r="I19" s="7">
        <f t="shared" si="3"/>
        <v>4.219507705176107</v>
      </c>
      <c r="J19" s="7">
        <f t="shared" si="4"/>
        <v>60</v>
      </c>
      <c r="K19" s="7">
        <f t="shared" si="5"/>
        <v>1.5492199948444281</v>
      </c>
      <c r="L19" s="7">
        <f t="shared" si="6"/>
        <v>-0.8857538525880535</v>
      </c>
      <c r="M19" s="7">
        <f t="shared" si="7"/>
        <v>0.97655999999999998</v>
      </c>
      <c r="N19" s="8">
        <f t="shared" si="8"/>
        <v>1.6400261422563744</v>
      </c>
      <c r="O19" s="9">
        <f t="shared" si="9"/>
        <v>47.329746820146049</v>
      </c>
      <c r="P19" s="10">
        <f t="shared" si="10"/>
        <v>265.73667122205711</v>
      </c>
      <c r="Q19" s="14">
        <f t="shared" si="11"/>
        <v>236.64873410073025</v>
      </c>
      <c r="R19" s="15">
        <v>41</v>
      </c>
      <c r="S19" s="15">
        <v>0.75</v>
      </c>
      <c r="T19" s="16">
        <v>101325</v>
      </c>
      <c r="U19" s="16">
        <v>288.60000000000002</v>
      </c>
      <c r="V19" s="15">
        <v>365</v>
      </c>
      <c r="W19" s="17">
        <f t="shared" si="12"/>
        <v>112.1637280362429</v>
      </c>
    </row>
    <row r="20" spans="1:23">
      <c r="A20" s="3"/>
      <c r="B20" s="3">
        <v>1000</v>
      </c>
      <c r="C20" s="4">
        <v>20</v>
      </c>
      <c r="D20" s="5">
        <f t="shared" si="0"/>
        <v>145.03263234227703</v>
      </c>
      <c r="E20" s="5">
        <f t="shared" si="1"/>
        <v>68</v>
      </c>
      <c r="F20" s="43">
        <v>5</v>
      </c>
      <c r="G20" s="6">
        <v>65</v>
      </c>
      <c r="H20" s="7">
        <f t="shared" si="2"/>
        <v>5.0734763274555421</v>
      </c>
      <c r="I20" s="7">
        <f t="shared" si="3"/>
        <v>4.219507705176107</v>
      </c>
      <c r="J20" s="7">
        <f t="shared" si="4"/>
        <v>65</v>
      </c>
      <c r="K20" s="7">
        <f t="shared" si="5"/>
        <v>1.5492199948444281</v>
      </c>
      <c r="L20" s="7">
        <f t="shared" si="6"/>
        <v>-0.8857538525880535</v>
      </c>
      <c r="M20" s="7">
        <f t="shared" si="7"/>
        <v>1.1827474999999998</v>
      </c>
      <c r="N20" s="8">
        <f t="shared" si="8"/>
        <v>1.8462136422563744</v>
      </c>
      <c r="O20" s="9">
        <f t="shared" si="9"/>
        <v>63.570431452577516</v>
      </c>
      <c r="P20" s="10">
        <f t="shared" si="10"/>
        <v>356.92130166154521</v>
      </c>
      <c r="Q20" s="14">
        <f t="shared" si="11"/>
        <v>317.8521572628876</v>
      </c>
      <c r="R20" s="15">
        <v>41</v>
      </c>
      <c r="S20" s="15">
        <v>0.75</v>
      </c>
      <c r="T20" s="16">
        <v>101325</v>
      </c>
      <c r="U20" s="16">
        <v>288.60000000000002</v>
      </c>
      <c r="V20" s="15">
        <v>365</v>
      </c>
      <c r="W20" s="17">
        <f t="shared" si="12"/>
        <v>150.65148376324069</v>
      </c>
    </row>
    <row r="21" spans="1:23">
      <c r="A21" s="1"/>
      <c r="B21" s="1"/>
      <c r="C21" s="1"/>
      <c r="D21" s="1"/>
      <c r="E21" s="1"/>
      <c r="F21" s="1"/>
      <c r="G21" s="1"/>
      <c r="H21" s="1"/>
      <c r="I21" s="1"/>
      <c r="J21" s="1"/>
      <c r="K21" s="1"/>
      <c r="L21" s="1"/>
      <c r="M21" s="1"/>
      <c r="N21" s="1"/>
      <c r="O21" s="1"/>
      <c r="P21" s="1"/>
      <c r="Q21" s="1"/>
      <c r="R21" s="1"/>
      <c r="S21" s="1"/>
    </row>
    <row r="22" spans="1:23">
      <c r="A22" s="1"/>
      <c r="B22" s="1"/>
      <c r="C22" s="1"/>
      <c r="D22" s="1"/>
      <c r="E22" s="1"/>
      <c r="F22" s="1"/>
      <c r="G22" s="1"/>
      <c r="H22" s="1"/>
      <c r="I22" s="1"/>
      <c r="J22" s="1"/>
      <c r="K22" s="1"/>
      <c r="L22" s="1"/>
      <c r="M22" s="1"/>
      <c r="N22" s="1"/>
      <c r="O22" s="1"/>
      <c r="P22" s="1"/>
      <c r="Q22" s="1"/>
      <c r="R22" s="1"/>
      <c r="S22" s="1"/>
    </row>
    <row r="23" spans="1:23">
      <c r="A23" s="1"/>
      <c r="B23" s="1"/>
      <c r="C23" s="1"/>
      <c r="D23" s="1"/>
      <c r="E23" s="1"/>
      <c r="F23" s="1"/>
      <c r="G23" s="1"/>
      <c r="H23" s="1"/>
      <c r="I23" s="1"/>
      <c r="J23" s="1"/>
      <c r="K23" s="1"/>
      <c r="L23" s="1"/>
      <c r="M23" s="1"/>
      <c r="N23" s="1"/>
      <c r="O23" s="1"/>
      <c r="P23" s="1"/>
      <c r="Q23" s="1"/>
      <c r="R23" s="1"/>
      <c r="S23" s="1"/>
    </row>
    <row r="24" spans="1:23">
      <c r="A24" s="38"/>
      <c r="B24" s="1"/>
      <c r="C24" s="1"/>
      <c r="D24" s="1"/>
      <c r="E24" s="1"/>
      <c r="F24" s="1"/>
      <c r="G24" s="1"/>
      <c r="H24" s="1"/>
      <c r="I24" s="1"/>
      <c r="J24" s="1"/>
      <c r="K24" s="1"/>
      <c r="L24" s="1"/>
      <c r="M24" s="1"/>
      <c r="N24" s="1"/>
      <c r="O24" s="1"/>
      <c r="P24" s="1"/>
      <c r="Q24" s="1"/>
      <c r="R24" s="1"/>
      <c r="S24" s="1"/>
    </row>
    <row r="25" spans="1:23">
      <c r="A25" s="39"/>
      <c r="B25" s="1"/>
      <c r="C25" s="1"/>
      <c r="D25" s="1"/>
      <c r="E25" s="1"/>
      <c r="F25" s="1"/>
      <c r="G25" s="1"/>
      <c r="H25" s="1"/>
      <c r="I25" s="1"/>
      <c r="J25" s="1"/>
      <c r="K25" s="1"/>
      <c r="L25" s="1"/>
      <c r="M25" s="1"/>
      <c r="N25" s="1"/>
      <c r="O25" s="1"/>
      <c r="P25" s="1"/>
      <c r="Q25" s="1"/>
      <c r="R25" s="1"/>
      <c r="S25" s="1"/>
    </row>
    <row r="26" spans="1:23">
      <c r="A26" s="40"/>
      <c r="B26" s="1"/>
      <c r="C26" s="1"/>
      <c r="D26" s="1"/>
      <c r="E26" s="1"/>
      <c r="F26" s="1"/>
      <c r="G26" s="1"/>
      <c r="H26" s="1"/>
      <c r="I26" s="1"/>
      <c r="J26" s="1"/>
      <c r="K26" s="1"/>
      <c r="L26" s="1"/>
      <c r="M26" s="1"/>
      <c r="N26" s="1"/>
      <c r="O26" s="1"/>
      <c r="P26" s="1"/>
      <c r="Q26" s="1"/>
      <c r="R26" s="1"/>
      <c r="S26" s="1"/>
    </row>
    <row r="27" spans="1:23">
      <c r="A27" s="1"/>
      <c r="B27" s="1"/>
      <c r="C27" s="1"/>
      <c r="D27" s="1"/>
      <c r="E27" s="1"/>
      <c r="F27" s="1"/>
      <c r="G27" s="1"/>
      <c r="H27" s="1"/>
      <c r="I27" s="1"/>
      <c r="J27" s="1"/>
      <c r="K27" s="1"/>
      <c r="L27" s="1"/>
      <c r="M27" s="1"/>
      <c r="N27" s="1"/>
      <c r="O27" s="1"/>
      <c r="P27" s="1"/>
      <c r="Q27" s="1"/>
      <c r="R27" s="1"/>
      <c r="S27" s="1"/>
    </row>
    <row r="28" spans="1:23">
      <c r="A28" s="1"/>
      <c r="B28" s="1"/>
      <c r="C28" s="1"/>
      <c r="D28" s="1"/>
      <c r="E28" s="1"/>
      <c r="F28" s="1"/>
      <c r="G28" s="1"/>
      <c r="H28" s="1"/>
      <c r="I28" s="1"/>
      <c r="J28" s="1"/>
      <c r="K28" s="1"/>
      <c r="L28" s="1"/>
      <c r="M28" s="1"/>
      <c r="N28" s="1"/>
      <c r="O28" s="1"/>
      <c r="P28" s="1"/>
      <c r="Q28" s="1"/>
      <c r="R28" s="1"/>
      <c r="S28" s="1"/>
    </row>
    <row r="29" spans="1:23">
      <c r="A29" s="1"/>
      <c r="B29" s="1"/>
      <c r="C29" s="1"/>
      <c r="D29" s="1"/>
      <c r="E29" s="1"/>
      <c r="F29" s="1"/>
      <c r="G29" s="1"/>
      <c r="H29" s="1"/>
      <c r="I29" s="1"/>
      <c r="J29" s="1"/>
      <c r="K29" s="1"/>
      <c r="L29" s="1"/>
      <c r="M29" s="1"/>
      <c r="N29" s="1"/>
      <c r="O29" s="1"/>
      <c r="P29" s="1"/>
      <c r="Q29" s="1"/>
      <c r="R29" s="1"/>
      <c r="S29" s="1"/>
    </row>
    <row r="30" spans="1:23">
      <c r="A30" s="1"/>
      <c r="B30" s="1"/>
      <c r="C30" s="1"/>
      <c r="D30" s="1"/>
      <c r="E30" s="1"/>
      <c r="F30" s="1"/>
      <c r="G30" s="1"/>
      <c r="H30" s="1"/>
      <c r="I30" s="1"/>
      <c r="J30" s="1"/>
      <c r="K30" s="1"/>
      <c r="L30" s="1"/>
      <c r="M30" s="1"/>
      <c r="N30" s="1"/>
      <c r="O30" s="1"/>
      <c r="P30" s="1"/>
      <c r="Q30" s="1"/>
      <c r="R30" s="1"/>
      <c r="S30" s="1"/>
    </row>
    <row r="31" spans="1:23">
      <c r="A31" s="1"/>
      <c r="B31" s="1"/>
      <c r="C31" s="1"/>
      <c r="D31" s="1"/>
      <c r="E31" s="1"/>
      <c r="F31" s="1"/>
      <c r="G31" s="1"/>
      <c r="H31" s="1"/>
      <c r="I31" s="1"/>
      <c r="J31" s="1"/>
      <c r="K31" s="1"/>
      <c r="L31" s="1"/>
      <c r="M31" s="1"/>
      <c r="N31" s="1"/>
      <c r="O31" s="1"/>
      <c r="P31" s="1"/>
      <c r="Q31" s="1"/>
      <c r="R31" s="1"/>
      <c r="S31" s="1"/>
    </row>
  </sheetData>
  <sheetProtection algorithmName="SHA-512" hashValue="ZvYf2Q8LwEa4/em1hlhBP38UeyHjuN1lwBqPiRkLMnYmxofxteNYAiXnjYWfGq21dPapkpT6auvqYghMW1+z9g==" saltValue="+CPIlppLVfSfMb19N54uMg==" spinCount="100000" sheet="1" objects="1" scenarios="1"/>
  <mergeCells count="7">
    <mergeCell ref="T5:U5"/>
    <mergeCell ref="R5:S5"/>
    <mergeCell ref="A5:A6"/>
    <mergeCell ref="B5:E5"/>
    <mergeCell ref="F5:G5"/>
    <mergeCell ref="H5:N5"/>
    <mergeCell ref="O5:P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Environment Climate Change Canada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Fouzi, Kerdouss</dc:creator>
  <cp:keywords/>
  <dc:description/>
  <cp:lastModifiedBy/>
  <cp:revision/>
  <dcterms:created xsi:type="dcterms:W3CDTF">2021-04-09T17:54:56Z</dcterms:created>
  <dcterms:modified xsi:type="dcterms:W3CDTF">2024-03-18T11:57:37Z</dcterms:modified>
  <cp:category/>
  <cp:contentStatus/>
</cp:coreProperties>
</file>